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排序" sheetId="1" r:id="rId1"/>
  </sheets>
  <definedNames>
    <definedName name="_xlnm.Print_Titles" localSheetId="0">'排序'!$2:$2</definedName>
    <definedName name="_xlnm._FilterDatabase" localSheetId="0" hidden="1">'排序'!$A$2:$L$178</definedName>
  </definedNames>
  <calcPr fullCalcOnLoad="1"/>
</workbook>
</file>

<file path=xl/sharedStrings.xml><?xml version="1.0" encoding="utf-8"?>
<sst xmlns="http://schemas.openxmlformats.org/spreadsheetml/2006/main" count="543" uniqueCount="103">
  <si>
    <t>2024年度黄山市市直中小学新任教师公开招聘专业测试及总成绩表</t>
  </si>
  <si>
    <t>序号</t>
  </si>
  <si>
    <t>报考单位</t>
  </si>
  <si>
    <t>岗位代码</t>
  </si>
  <si>
    <t>岗位</t>
  </si>
  <si>
    <t>准考证号</t>
  </si>
  <si>
    <t>教育综合知识</t>
  </si>
  <si>
    <t>学科专业知识</t>
  </si>
  <si>
    <t>合成笔试成绩</t>
  </si>
  <si>
    <t>政策加分</t>
  </si>
  <si>
    <t>最终笔试成绩</t>
  </si>
  <si>
    <t>专业测试成绩</t>
  </si>
  <si>
    <t>总成绩</t>
  </si>
  <si>
    <t>黄山市屯溪第二中学</t>
  </si>
  <si>
    <t>34100101</t>
  </si>
  <si>
    <t>高中政治</t>
  </si>
  <si>
    <t>缺考</t>
  </si>
  <si>
    <t>34100102</t>
  </si>
  <si>
    <t>高中英语</t>
  </si>
  <si>
    <t>34100103</t>
  </si>
  <si>
    <t>高中生物</t>
  </si>
  <si>
    <t>黄山市田家炳实验中学</t>
  </si>
  <si>
    <t>34100104</t>
  </si>
  <si>
    <t>高中数学</t>
  </si>
  <si>
    <t>34100106</t>
  </si>
  <si>
    <t>高中化学</t>
  </si>
  <si>
    <t>34100107</t>
  </si>
  <si>
    <t>高中语文</t>
  </si>
  <si>
    <t>34100108</t>
  </si>
  <si>
    <t>高中地理</t>
  </si>
  <si>
    <t>34100109</t>
  </si>
  <si>
    <t>34100110</t>
  </si>
  <si>
    <t>黄山市屯溪第三中学</t>
  </si>
  <si>
    <t>34100111</t>
  </si>
  <si>
    <t>初中语文</t>
  </si>
  <si>
    <t>34100112</t>
  </si>
  <si>
    <t>初中历史</t>
  </si>
  <si>
    <t>34100113</t>
  </si>
  <si>
    <t>初中体育</t>
  </si>
  <si>
    <t>黄山市屯溪第四中学</t>
  </si>
  <si>
    <t>34100114</t>
  </si>
  <si>
    <t>初中物理</t>
  </si>
  <si>
    <t>34100115</t>
  </si>
  <si>
    <t>34100116</t>
  </si>
  <si>
    <t>初中英语</t>
  </si>
  <si>
    <t>34100117</t>
  </si>
  <si>
    <t>34100118</t>
  </si>
  <si>
    <t>34100119</t>
  </si>
  <si>
    <t>34100120</t>
  </si>
  <si>
    <t>初中数学</t>
  </si>
  <si>
    <t>34100121</t>
  </si>
  <si>
    <t>初中生物</t>
  </si>
  <si>
    <t>34100122</t>
  </si>
  <si>
    <t>初中化学</t>
  </si>
  <si>
    <t>34100123</t>
  </si>
  <si>
    <t>初中地理</t>
  </si>
  <si>
    <t>34100124</t>
  </si>
  <si>
    <t>初中道德与法治</t>
  </si>
  <si>
    <t>34100125</t>
  </si>
  <si>
    <t>初中心理健康</t>
  </si>
  <si>
    <t>黄山市屯溪第五中学</t>
  </si>
  <si>
    <t>34100126</t>
  </si>
  <si>
    <t>34100127</t>
  </si>
  <si>
    <t>34100128</t>
  </si>
  <si>
    <t>34100129</t>
  </si>
  <si>
    <t>初中音乐</t>
  </si>
  <si>
    <t>34100130</t>
  </si>
  <si>
    <t>34100131</t>
  </si>
  <si>
    <t>初中美术</t>
  </si>
  <si>
    <t>黄山市屯溪第六中学</t>
  </si>
  <si>
    <t>34100132</t>
  </si>
  <si>
    <t>34100133</t>
  </si>
  <si>
    <t>34100134</t>
  </si>
  <si>
    <t>34100135</t>
  </si>
  <si>
    <t>34100136</t>
  </si>
  <si>
    <t>34100137</t>
  </si>
  <si>
    <t>34100138</t>
  </si>
  <si>
    <t>黄山市新城实验教育集团新城校区</t>
  </si>
  <si>
    <t>34100139</t>
  </si>
  <si>
    <t>34100140</t>
  </si>
  <si>
    <t>34100141</t>
  </si>
  <si>
    <t>34100142</t>
  </si>
  <si>
    <t>34100143</t>
  </si>
  <si>
    <t>小学英语</t>
  </si>
  <si>
    <t>34100144</t>
  </si>
  <si>
    <t>小学科学</t>
  </si>
  <si>
    <t>34100145</t>
  </si>
  <si>
    <t>小学信息技术</t>
  </si>
  <si>
    <t>34100146</t>
  </si>
  <si>
    <t>黄山市新城实验教育集团梅林校区</t>
  </si>
  <si>
    <t>34100147</t>
  </si>
  <si>
    <t>小学语文</t>
  </si>
  <si>
    <t>34100148</t>
  </si>
  <si>
    <t>黄山市特殊教育学校</t>
  </si>
  <si>
    <t>34100149</t>
  </si>
  <si>
    <t>小学音乐</t>
  </si>
  <si>
    <t>黄山市新潭小学</t>
  </si>
  <si>
    <t>34100150</t>
  </si>
  <si>
    <t>小学数学</t>
  </si>
  <si>
    <t>34100151</t>
  </si>
  <si>
    <t>34100152</t>
  </si>
  <si>
    <t>34100153</t>
  </si>
  <si>
    <t>34100154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</si>
</sst>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1" fillId="33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" xfId="65"/>
    <cellStyle name="常规 3" xfId="66"/>
    <cellStyle name="常规 4" xfId="67"/>
    <cellStyle name="常规 5" xfId="68"/>
    <cellStyle name="常规 7" xfId="69"/>
    <cellStyle name="常规_Sheet1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workbookViewId="0" topLeftCell="A1">
      <selection activeCell="A3" sqref="A3:L178"/>
    </sheetView>
  </sheetViews>
  <sheetFormatPr defaultColWidth="9.00390625" defaultRowHeight="14.25"/>
  <cols>
    <col min="1" max="1" width="4.375" style="3" customWidth="1"/>
    <col min="2" max="2" width="31.125" style="3" customWidth="1"/>
    <col min="3" max="3" width="11.00390625" style="3" customWidth="1"/>
    <col min="4" max="4" width="16.125" style="4" customWidth="1"/>
    <col min="5" max="5" width="14.75390625" style="3" customWidth="1"/>
    <col min="6" max="10" width="9.00390625" style="3" customWidth="1"/>
    <col min="11" max="11" width="9.00390625" style="5" customWidth="1"/>
    <col min="12" max="29" width="9.00390625" style="3" customWidth="1"/>
    <col min="30" max="16384" width="9.00390625" style="3" customWidth="1"/>
  </cols>
  <sheetData>
    <row r="1" spans="1:12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6" t="s">
        <v>12</v>
      </c>
    </row>
    <row r="3" spans="1:12" ht="14.25">
      <c r="A3" s="8">
        <v>1</v>
      </c>
      <c r="B3" s="9" t="s">
        <v>13</v>
      </c>
      <c r="C3" s="9" t="s">
        <v>14</v>
      </c>
      <c r="D3" s="9" t="s">
        <v>15</v>
      </c>
      <c r="E3" s="9" t="str">
        <f>"243410020824"</f>
        <v>243410020824</v>
      </c>
      <c r="F3" s="10">
        <v>81</v>
      </c>
      <c r="G3" s="9">
        <v>87.5</v>
      </c>
      <c r="H3" s="9">
        <f>F3*0.4+G3*0.6</f>
        <v>84.9</v>
      </c>
      <c r="I3" s="9"/>
      <c r="J3" s="9">
        <f>H3+I3</f>
        <v>84.9</v>
      </c>
      <c r="K3" s="17">
        <v>75.53</v>
      </c>
      <c r="L3" s="18">
        <f>J3/1.2*0.4+K3*0.6</f>
        <v>73.61800000000001</v>
      </c>
    </row>
    <row r="4" spans="1:12" ht="14.25">
      <c r="A4" s="8">
        <v>2</v>
      </c>
      <c r="B4" s="9" t="s">
        <v>13</v>
      </c>
      <c r="C4" s="9" t="s">
        <v>14</v>
      </c>
      <c r="D4" s="9" t="s">
        <v>15</v>
      </c>
      <c r="E4" s="9" t="str">
        <f>"243410020818"</f>
        <v>243410020818</v>
      </c>
      <c r="F4" s="10">
        <v>74</v>
      </c>
      <c r="G4" s="9">
        <v>95</v>
      </c>
      <c r="H4" s="9">
        <f>F4*0.4+G4*0.6</f>
        <v>86.6</v>
      </c>
      <c r="I4" s="9"/>
      <c r="J4" s="9">
        <f>H4+I4</f>
        <v>86.6</v>
      </c>
      <c r="K4" s="17">
        <v>79.27</v>
      </c>
      <c r="L4" s="18">
        <f>J4/1.2*0.4+K4*0.6</f>
        <v>76.42866666666667</v>
      </c>
    </row>
    <row r="5" spans="1:12" ht="14.25">
      <c r="A5" s="8">
        <v>3</v>
      </c>
      <c r="B5" s="9" t="s">
        <v>13</v>
      </c>
      <c r="C5" s="9" t="s">
        <v>14</v>
      </c>
      <c r="D5" s="9" t="s">
        <v>15</v>
      </c>
      <c r="E5" s="9" t="str">
        <f>"243410020823"</f>
        <v>243410020823</v>
      </c>
      <c r="F5" s="10">
        <v>67.5</v>
      </c>
      <c r="G5" s="9">
        <v>97.5</v>
      </c>
      <c r="H5" s="9">
        <f>F5*0.4+G5*0.6</f>
        <v>85.5</v>
      </c>
      <c r="I5" s="9"/>
      <c r="J5" s="9">
        <f>H5+I5</f>
        <v>85.5</v>
      </c>
      <c r="K5" s="19" t="s">
        <v>16</v>
      </c>
      <c r="L5" s="18">
        <v>28.5</v>
      </c>
    </row>
    <row r="6" spans="1:12" ht="14.25">
      <c r="A6" s="8">
        <v>4</v>
      </c>
      <c r="B6" s="9" t="s">
        <v>13</v>
      </c>
      <c r="C6" s="9" t="s">
        <v>17</v>
      </c>
      <c r="D6" s="9" t="s">
        <v>18</v>
      </c>
      <c r="E6" s="9" t="str">
        <f>"243410021908"</f>
        <v>243410021908</v>
      </c>
      <c r="F6" s="10">
        <v>74.5</v>
      </c>
      <c r="G6" s="9">
        <v>84.5</v>
      </c>
      <c r="H6" s="9">
        <f>F6*0.4+G6*0.6</f>
        <v>80.5</v>
      </c>
      <c r="I6" s="9"/>
      <c r="J6" s="9">
        <f>H6+I6</f>
        <v>80.5</v>
      </c>
      <c r="K6" s="17">
        <v>73.3</v>
      </c>
      <c r="L6" s="18">
        <f>J6/1.2*0.4+K6*0.6</f>
        <v>70.81333333333333</v>
      </c>
    </row>
    <row r="7" spans="1:12" ht="14.25">
      <c r="A7" s="8">
        <v>5</v>
      </c>
      <c r="B7" s="9" t="s">
        <v>13</v>
      </c>
      <c r="C7" s="9" t="s">
        <v>17</v>
      </c>
      <c r="D7" s="9" t="s">
        <v>18</v>
      </c>
      <c r="E7" s="9" t="str">
        <f>"243410021915"</f>
        <v>243410021915</v>
      </c>
      <c r="F7" s="10">
        <v>80</v>
      </c>
      <c r="G7" s="9">
        <v>85</v>
      </c>
      <c r="H7" s="9">
        <f>F7*0.4+G7*0.6</f>
        <v>83</v>
      </c>
      <c r="I7" s="9"/>
      <c r="J7" s="9">
        <f>H7+I7</f>
        <v>83</v>
      </c>
      <c r="K7" s="17">
        <v>82.43</v>
      </c>
      <c r="L7" s="18">
        <f>J7/1.2*0.4+K7*0.6</f>
        <v>77.12466666666668</v>
      </c>
    </row>
    <row r="8" spans="1:12" ht="14.25">
      <c r="A8" s="8">
        <v>6</v>
      </c>
      <c r="B8" s="9" t="s">
        <v>13</v>
      </c>
      <c r="C8" s="9" t="s">
        <v>17</v>
      </c>
      <c r="D8" s="9" t="s">
        <v>18</v>
      </c>
      <c r="E8" s="9" t="str">
        <f>"243410021913"</f>
        <v>243410021913</v>
      </c>
      <c r="F8" s="10">
        <v>79</v>
      </c>
      <c r="G8" s="9">
        <v>82.5</v>
      </c>
      <c r="H8" s="9">
        <f>F8*0.4+G8*0.6</f>
        <v>81.1</v>
      </c>
      <c r="I8" s="9"/>
      <c r="J8" s="9">
        <f>H8+I8</f>
        <v>81.1</v>
      </c>
      <c r="K8" s="17">
        <v>76.83</v>
      </c>
      <c r="L8" s="18">
        <f>J8/1.2*0.4+K8*0.6</f>
        <v>73.13133333333333</v>
      </c>
    </row>
    <row r="9" spans="1:12" ht="14.25">
      <c r="A9" s="8">
        <v>7</v>
      </c>
      <c r="B9" s="9" t="s">
        <v>13</v>
      </c>
      <c r="C9" s="9" t="s">
        <v>19</v>
      </c>
      <c r="D9" s="9" t="s">
        <v>20</v>
      </c>
      <c r="E9" s="9" t="str">
        <f>"243410020106"</f>
        <v>243410020106</v>
      </c>
      <c r="F9" s="10">
        <v>76.5</v>
      </c>
      <c r="G9" s="9">
        <v>60</v>
      </c>
      <c r="H9" s="9">
        <f>F9*0.4+G9*0.6</f>
        <v>66.6</v>
      </c>
      <c r="I9" s="9"/>
      <c r="J9" s="9">
        <f>H9+I9</f>
        <v>66.6</v>
      </c>
      <c r="K9" s="17">
        <v>70.8</v>
      </c>
      <c r="L9" s="18">
        <f>J9/1.2*0.4+K9*0.6</f>
        <v>64.68</v>
      </c>
    </row>
    <row r="10" spans="1:12" ht="14.25">
      <c r="A10" s="8">
        <v>8</v>
      </c>
      <c r="B10" s="9" t="s">
        <v>13</v>
      </c>
      <c r="C10" s="9" t="s">
        <v>19</v>
      </c>
      <c r="D10" s="9" t="s">
        <v>20</v>
      </c>
      <c r="E10" s="9" t="str">
        <f>"243410020101"</f>
        <v>243410020101</v>
      </c>
      <c r="F10" s="10">
        <v>69</v>
      </c>
      <c r="G10" s="9">
        <v>80.5</v>
      </c>
      <c r="H10" s="9">
        <f>F10*0.4+G10*0.6</f>
        <v>75.9</v>
      </c>
      <c r="I10" s="9"/>
      <c r="J10" s="9">
        <f>H10+I10</f>
        <v>75.9</v>
      </c>
      <c r="K10" s="17">
        <v>75.13</v>
      </c>
      <c r="L10" s="18">
        <f>J10/1.2*0.4+K10*0.6</f>
        <v>70.378</v>
      </c>
    </row>
    <row r="11" spans="1:12" s="2" customFormat="1" ht="14.25">
      <c r="A11" s="8">
        <v>9</v>
      </c>
      <c r="B11" s="11" t="s">
        <v>13</v>
      </c>
      <c r="C11" s="11" t="s">
        <v>19</v>
      </c>
      <c r="D11" s="11" t="s">
        <v>20</v>
      </c>
      <c r="E11" s="9" t="str">
        <f>"243410020102"</f>
        <v>243410020102</v>
      </c>
      <c r="F11" s="10">
        <v>60.5</v>
      </c>
      <c r="G11" s="9">
        <v>68.5</v>
      </c>
      <c r="H11" s="9">
        <f>F11*0.4+G11*0.6</f>
        <v>65.30000000000001</v>
      </c>
      <c r="I11" s="9"/>
      <c r="J11" s="9">
        <f>H11+I11</f>
        <v>65.30000000000001</v>
      </c>
      <c r="K11" s="17">
        <v>75.87</v>
      </c>
      <c r="L11" s="18">
        <f>J11/1.2*0.4+K11*0.6</f>
        <v>67.28866666666667</v>
      </c>
    </row>
    <row r="12" spans="1:12" ht="14.25">
      <c r="A12" s="8">
        <v>10</v>
      </c>
      <c r="B12" s="9" t="s">
        <v>21</v>
      </c>
      <c r="C12" s="9" t="s">
        <v>22</v>
      </c>
      <c r="D12" s="9" t="s">
        <v>23</v>
      </c>
      <c r="E12" s="9" t="str">
        <f>"243410013907"</f>
        <v>243410013907</v>
      </c>
      <c r="F12" s="10">
        <v>73</v>
      </c>
      <c r="G12" s="9">
        <v>99.5</v>
      </c>
      <c r="H12" s="9">
        <f>F12*0.4+G12*0.6</f>
        <v>88.9</v>
      </c>
      <c r="I12" s="9"/>
      <c r="J12" s="9">
        <f>H12+I12</f>
        <v>88.9</v>
      </c>
      <c r="K12" s="17">
        <v>83.27</v>
      </c>
      <c r="L12" s="18">
        <f>J12/1.2*0.4+K12*0.6</f>
        <v>79.59533333333334</v>
      </c>
    </row>
    <row r="13" spans="1:12" ht="14.25">
      <c r="A13" s="8">
        <v>11</v>
      </c>
      <c r="B13" s="9" t="s">
        <v>21</v>
      </c>
      <c r="C13" s="9" t="s">
        <v>22</v>
      </c>
      <c r="D13" s="9" t="s">
        <v>23</v>
      </c>
      <c r="E13" s="9" t="str">
        <f>"243410013904"</f>
        <v>243410013904</v>
      </c>
      <c r="F13" s="10">
        <v>56.5</v>
      </c>
      <c r="G13" s="9">
        <v>100.5</v>
      </c>
      <c r="H13" s="9">
        <f>F13*0.4+G13*0.6</f>
        <v>82.9</v>
      </c>
      <c r="I13" s="9"/>
      <c r="J13" s="9">
        <f>H13+I13</f>
        <v>82.9</v>
      </c>
      <c r="K13" s="17">
        <v>79.53</v>
      </c>
      <c r="L13" s="18">
        <f>J13/1.2*0.4+K13*0.6</f>
        <v>75.35133333333334</v>
      </c>
    </row>
    <row r="14" spans="1:12" ht="14.25">
      <c r="A14" s="8">
        <v>12</v>
      </c>
      <c r="B14" s="9" t="s">
        <v>21</v>
      </c>
      <c r="C14" s="9" t="s">
        <v>22</v>
      </c>
      <c r="D14" s="9" t="s">
        <v>23</v>
      </c>
      <c r="E14" s="9" t="str">
        <f>"243410013903"</f>
        <v>243410013903</v>
      </c>
      <c r="F14" s="10">
        <v>77</v>
      </c>
      <c r="G14" s="9">
        <v>96.5</v>
      </c>
      <c r="H14" s="9">
        <f>F14*0.4+G14*0.6</f>
        <v>88.7</v>
      </c>
      <c r="I14" s="9"/>
      <c r="J14" s="9">
        <f>H14+I14</f>
        <v>88.7</v>
      </c>
      <c r="K14" s="17">
        <v>81.33</v>
      </c>
      <c r="L14" s="18">
        <f>J14/1.2*0.4+K14*0.6</f>
        <v>78.36466666666666</v>
      </c>
    </row>
    <row r="15" spans="1:12" ht="14.25">
      <c r="A15" s="8">
        <v>13</v>
      </c>
      <c r="B15" s="9" t="s">
        <v>21</v>
      </c>
      <c r="C15" s="9" t="s">
        <v>24</v>
      </c>
      <c r="D15" s="9" t="s">
        <v>25</v>
      </c>
      <c r="E15" s="9" t="str">
        <f>"243410021124"</f>
        <v>243410021124</v>
      </c>
      <c r="F15" s="10">
        <v>75</v>
      </c>
      <c r="G15" s="9">
        <v>80</v>
      </c>
      <c r="H15" s="9">
        <f>F15*0.4+G15*0.6</f>
        <v>78</v>
      </c>
      <c r="I15" s="9"/>
      <c r="J15" s="9">
        <f>H15+I15</f>
        <v>78</v>
      </c>
      <c r="K15" s="17">
        <v>73.5</v>
      </c>
      <c r="L15" s="18">
        <f>J15/1.2*0.4+K15*0.6</f>
        <v>70.1</v>
      </c>
    </row>
    <row r="16" spans="1:12" ht="14.25">
      <c r="A16" s="8">
        <v>14</v>
      </c>
      <c r="B16" s="12" t="s">
        <v>21</v>
      </c>
      <c r="C16" s="12" t="s">
        <v>24</v>
      </c>
      <c r="D16" s="13" t="s">
        <v>25</v>
      </c>
      <c r="E16" s="9" t="str">
        <f>"243410021122"</f>
        <v>243410021122</v>
      </c>
      <c r="F16" s="10">
        <v>65.5</v>
      </c>
      <c r="G16" s="9">
        <v>71</v>
      </c>
      <c r="H16" s="9">
        <f>F16*0.4+G16*0.6</f>
        <v>68.80000000000001</v>
      </c>
      <c r="I16" s="9"/>
      <c r="J16" s="9">
        <f>H16+I16</f>
        <v>68.80000000000001</v>
      </c>
      <c r="K16" s="17">
        <v>75.6</v>
      </c>
      <c r="L16" s="20">
        <f>J16/1.2*0.4+K16*0.6</f>
        <v>68.29333333333332</v>
      </c>
    </row>
    <row r="17" spans="1:12" ht="14.25">
      <c r="A17" s="8">
        <v>15</v>
      </c>
      <c r="B17" s="9" t="s">
        <v>21</v>
      </c>
      <c r="C17" s="9" t="s">
        <v>24</v>
      </c>
      <c r="D17" s="9" t="s">
        <v>25</v>
      </c>
      <c r="E17" s="9" t="str">
        <f>"243410021125"</f>
        <v>243410021125</v>
      </c>
      <c r="F17" s="10">
        <v>63</v>
      </c>
      <c r="G17" s="9">
        <v>91.5</v>
      </c>
      <c r="H17" s="9">
        <f>F17*0.4+G17*0.6</f>
        <v>80.1</v>
      </c>
      <c r="I17" s="9"/>
      <c r="J17" s="9">
        <f>H17+I17</f>
        <v>80.1</v>
      </c>
      <c r="K17" s="17">
        <v>80.5</v>
      </c>
      <c r="L17" s="20">
        <f>J17/1.2*0.4+K17*0.6</f>
        <v>75</v>
      </c>
    </row>
    <row r="18" spans="1:12" ht="14.25">
      <c r="A18" s="8">
        <v>16</v>
      </c>
      <c r="B18" s="9" t="s">
        <v>21</v>
      </c>
      <c r="C18" s="9" t="s">
        <v>26</v>
      </c>
      <c r="D18" s="9" t="s">
        <v>27</v>
      </c>
      <c r="E18" s="9" t="str">
        <f>"243410021310"</f>
        <v>243410021310</v>
      </c>
      <c r="F18" s="10">
        <v>69</v>
      </c>
      <c r="G18" s="9">
        <v>80.5</v>
      </c>
      <c r="H18" s="9">
        <f>F18*0.4+G18*0.6</f>
        <v>75.9</v>
      </c>
      <c r="I18" s="9"/>
      <c r="J18" s="9">
        <f>H18+I18</f>
        <v>75.9</v>
      </c>
      <c r="K18" s="17">
        <v>77.43</v>
      </c>
      <c r="L18" s="20">
        <f>J18/1.2*0.4+K18*0.6</f>
        <v>71.75800000000001</v>
      </c>
    </row>
    <row r="19" spans="1:12" ht="14.25">
      <c r="A19" s="8">
        <v>17</v>
      </c>
      <c r="B19" s="9" t="s">
        <v>21</v>
      </c>
      <c r="C19" s="9" t="s">
        <v>26</v>
      </c>
      <c r="D19" s="9" t="s">
        <v>27</v>
      </c>
      <c r="E19" s="9" t="str">
        <f>"243410021302"</f>
        <v>243410021302</v>
      </c>
      <c r="F19" s="10">
        <v>80.5</v>
      </c>
      <c r="G19" s="9">
        <v>86.5</v>
      </c>
      <c r="H19" s="9">
        <f>F19*0.4+G19*0.6</f>
        <v>84.1</v>
      </c>
      <c r="I19" s="9"/>
      <c r="J19" s="9">
        <f>H19+I19</f>
        <v>84.1</v>
      </c>
      <c r="K19" s="17">
        <v>81.27</v>
      </c>
      <c r="L19" s="20">
        <f>J19/1.2*0.4+K19*0.6</f>
        <v>76.79533333333333</v>
      </c>
    </row>
    <row r="20" spans="1:12" ht="14.25">
      <c r="A20" s="8">
        <v>18</v>
      </c>
      <c r="B20" s="11" t="s">
        <v>21</v>
      </c>
      <c r="C20" s="11" t="s">
        <v>26</v>
      </c>
      <c r="D20" s="11" t="s">
        <v>27</v>
      </c>
      <c r="E20" s="9" t="str">
        <f>"243410021309"</f>
        <v>243410021309</v>
      </c>
      <c r="F20" s="10">
        <v>60.5</v>
      </c>
      <c r="G20" s="9">
        <v>77</v>
      </c>
      <c r="H20" s="9">
        <f>F20*0.4+G20*0.6</f>
        <v>70.4</v>
      </c>
      <c r="I20" s="9"/>
      <c r="J20" s="9">
        <f>H20+I20</f>
        <v>70.4</v>
      </c>
      <c r="K20" s="17">
        <v>68.4</v>
      </c>
      <c r="L20" s="20">
        <f>J20/1.2*0.4+K20*0.6</f>
        <v>64.50666666666666</v>
      </c>
    </row>
    <row r="21" spans="1:12" ht="14.25">
      <c r="A21" s="8">
        <v>19</v>
      </c>
      <c r="B21" s="9" t="s">
        <v>21</v>
      </c>
      <c r="C21" s="9" t="s">
        <v>28</v>
      </c>
      <c r="D21" s="9" t="s">
        <v>29</v>
      </c>
      <c r="E21" s="9" t="str">
        <f>"243410020701"</f>
        <v>243410020701</v>
      </c>
      <c r="F21" s="10">
        <v>64</v>
      </c>
      <c r="G21" s="9">
        <v>82</v>
      </c>
      <c r="H21" s="9">
        <f>F21*0.4+G21*0.6</f>
        <v>74.8</v>
      </c>
      <c r="I21" s="9"/>
      <c r="J21" s="9">
        <f>H21+I21</f>
        <v>74.8</v>
      </c>
      <c r="K21" s="17">
        <v>79.67</v>
      </c>
      <c r="L21" s="20">
        <f>J21/1.2*0.4+K21*0.6</f>
        <v>72.73533333333333</v>
      </c>
    </row>
    <row r="22" spans="1:12" ht="14.25">
      <c r="A22" s="8">
        <v>20</v>
      </c>
      <c r="B22" s="9" t="s">
        <v>21</v>
      </c>
      <c r="C22" s="9" t="s">
        <v>28</v>
      </c>
      <c r="D22" s="9" t="s">
        <v>29</v>
      </c>
      <c r="E22" s="9" t="str">
        <f>"243410020704"</f>
        <v>243410020704</v>
      </c>
      <c r="F22" s="10">
        <v>70.5</v>
      </c>
      <c r="G22" s="9">
        <v>76</v>
      </c>
      <c r="H22" s="9">
        <f>F22*0.4+G22*0.6</f>
        <v>73.80000000000001</v>
      </c>
      <c r="I22" s="9"/>
      <c r="J22" s="9">
        <f>H22+I22</f>
        <v>73.80000000000001</v>
      </c>
      <c r="K22" s="17">
        <v>73.33</v>
      </c>
      <c r="L22" s="20">
        <f>J22/1.2*0.4+K22*0.6</f>
        <v>68.59800000000001</v>
      </c>
    </row>
    <row r="23" spans="1:12" ht="14.25">
      <c r="A23" s="8">
        <v>21</v>
      </c>
      <c r="B23" s="9" t="s">
        <v>21</v>
      </c>
      <c r="C23" s="9" t="s">
        <v>28</v>
      </c>
      <c r="D23" s="9" t="s">
        <v>29</v>
      </c>
      <c r="E23" s="9" t="str">
        <f>"243410020702"</f>
        <v>243410020702</v>
      </c>
      <c r="F23" s="10">
        <v>71.5</v>
      </c>
      <c r="G23" s="9">
        <v>75.5</v>
      </c>
      <c r="H23" s="9">
        <f>F23*0.4+G23*0.6</f>
        <v>73.9</v>
      </c>
      <c r="I23" s="9"/>
      <c r="J23" s="9">
        <f>H23+I23</f>
        <v>73.9</v>
      </c>
      <c r="K23" s="17">
        <v>78.27</v>
      </c>
      <c r="L23" s="20">
        <f>J23/1.2*0.4+K23*0.6</f>
        <v>71.59533333333334</v>
      </c>
    </row>
    <row r="24" spans="1:12" ht="14.25">
      <c r="A24" s="8">
        <v>22</v>
      </c>
      <c r="B24" s="9" t="s">
        <v>21</v>
      </c>
      <c r="C24" s="9" t="s">
        <v>30</v>
      </c>
      <c r="D24" s="9" t="s">
        <v>20</v>
      </c>
      <c r="E24" s="9" t="str">
        <f>"243410020115"</f>
        <v>243410020115</v>
      </c>
      <c r="F24" s="10">
        <v>63</v>
      </c>
      <c r="G24" s="9">
        <v>77</v>
      </c>
      <c r="H24" s="9">
        <f>F24*0.4+G24*0.6</f>
        <v>71.4</v>
      </c>
      <c r="I24" s="9"/>
      <c r="J24" s="9">
        <f>H24+I24</f>
        <v>71.4</v>
      </c>
      <c r="K24" s="17">
        <v>76</v>
      </c>
      <c r="L24" s="20">
        <f>J24/1.2*0.4+K24*0.6</f>
        <v>69.4</v>
      </c>
    </row>
    <row r="25" spans="1:12" ht="14.25">
      <c r="A25" s="8">
        <v>23</v>
      </c>
      <c r="B25" s="9" t="s">
        <v>21</v>
      </c>
      <c r="C25" s="9" t="s">
        <v>30</v>
      </c>
      <c r="D25" s="9" t="s">
        <v>20</v>
      </c>
      <c r="E25" s="9" t="str">
        <f>"243410020111"</f>
        <v>243410020111</v>
      </c>
      <c r="F25" s="10">
        <v>81.5</v>
      </c>
      <c r="G25" s="9">
        <v>102</v>
      </c>
      <c r="H25" s="9">
        <f>F25*0.4+G25*0.6</f>
        <v>93.8</v>
      </c>
      <c r="I25" s="9"/>
      <c r="J25" s="9">
        <f>H25+I25</f>
        <v>93.8</v>
      </c>
      <c r="K25" s="17">
        <v>78.07</v>
      </c>
      <c r="L25" s="20">
        <f>J25/1.2*0.4+K25*0.6</f>
        <v>78.10866666666666</v>
      </c>
    </row>
    <row r="26" spans="1:12" ht="14.25">
      <c r="A26" s="8">
        <v>24</v>
      </c>
      <c r="B26" s="9" t="s">
        <v>21</v>
      </c>
      <c r="C26" s="9" t="s">
        <v>30</v>
      </c>
      <c r="D26" s="9" t="s">
        <v>20</v>
      </c>
      <c r="E26" s="9" t="str">
        <f>"243410020114"</f>
        <v>243410020114</v>
      </c>
      <c r="F26" s="10">
        <v>64</v>
      </c>
      <c r="G26" s="9">
        <v>77.5</v>
      </c>
      <c r="H26" s="9">
        <f>F26*0.4+G26*0.6</f>
        <v>72.1</v>
      </c>
      <c r="I26" s="9"/>
      <c r="J26" s="9">
        <f>H26+I26</f>
        <v>72.1</v>
      </c>
      <c r="K26" s="17">
        <v>80.1</v>
      </c>
      <c r="L26" s="20">
        <f>J26/1.2*0.4+K26*0.6</f>
        <v>72.09333333333333</v>
      </c>
    </row>
    <row r="27" spans="1:12" ht="14.25">
      <c r="A27" s="8">
        <v>25</v>
      </c>
      <c r="B27" s="9" t="s">
        <v>21</v>
      </c>
      <c r="C27" s="9" t="s">
        <v>31</v>
      </c>
      <c r="D27" s="9" t="s">
        <v>18</v>
      </c>
      <c r="E27" s="9" t="str">
        <f>"243410021920"</f>
        <v>243410021920</v>
      </c>
      <c r="F27" s="10">
        <v>87.5</v>
      </c>
      <c r="G27" s="9">
        <v>89.5</v>
      </c>
      <c r="H27" s="9">
        <f>F27*0.4+G27*0.6</f>
        <v>88.69999999999999</v>
      </c>
      <c r="I27" s="9"/>
      <c r="J27" s="9">
        <f>H27+I27</f>
        <v>88.69999999999999</v>
      </c>
      <c r="K27" s="17">
        <v>79.77</v>
      </c>
      <c r="L27" s="20">
        <f>J27/1.2*0.4+K27*0.6</f>
        <v>77.42866666666666</v>
      </c>
    </row>
    <row r="28" spans="1:12" ht="14.25">
      <c r="A28" s="8">
        <v>26</v>
      </c>
      <c r="B28" s="9" t="s">
        <v>21</v>
      </c>
      <c r="C28" s="9" t="s">
        <v>31</v>
      </c>
      <c r="D28" s="9" t="s">
        <v>18</v>
      </c>
      <c r="E28" s="9" t="str">
        <f>"243410021922"</f>
        <v>243410021922</v>
      </c>
      <c r="F28" s="10">
        <v>76.5</v>
      </c>
      <c r="G28" s="9">
        <v>96</v>
      </c>
      <c r="H28" s="9">
        <f>F28*0.4+G28*0.6</f>
        <v>88.19999999999999</v>
      </c>
      <c r="I28" s="9"/>
      <c r="J28" s="9">
        <f>H28+I28</f>
        <v>88.19999999999999</v>
      </c>
      <c r="K28" s="17">
        <v>83.97</v>
      </c>
      <c r="L28" s="20">
        <f>J28/1.2*0.4+K28*0.6</f>
        <v>79.782</v>
      </c>
    </row>
    <row r="29" spans="1:12" ht="14.25">
      <c r="A29" s="8">
        <v>27</v>
      </c>
      <c r="B29" s="9" t="s">
        <v>21</v>
      </c>
      <c r="C29" s="9" t="s">
        <v>31</v>
      </c>
      <c r="D29" s="9" t="s">
        <v>18</v>
      </c>
      <c r="E29" s="9" t="str">
        <f>"243410021928"</f>
        <v>243410021928</v>
      </c>
      <c r="F29" s="10">
        <v>103</v>
      </c>
      <c r="G29" s="9">
        <v>96</v>
      </c>
      <c r="H29" s="9">
        <f>F29*0.4+G29*0.6</f>
        <v>98.8</v>
      </c>
      <c r="I29" s="9"/>
      <c r="J29" s="9">
        <f>H29+I29</f>
        <v>98.8</v>
      </c>
      <c r="K29" s="17">
        <v>79.3</v>
      </c>
      <c r="L29" s="20">
        <f>J29/1.2*0.4+K29*0.6</f>
        <v>80.51333333333332</v>
      </c>
    </row>
    <row r="30" spans="1:12" ht="14.25">
      <c r="A30" s="8">
        <v>28</v>
      </c>
      <c r="B30" s="9" t="s">
        <v>32</v>
      </c>
      <c r="C30" s="9" t="s">
        <v>33</v>
      </c>
      <c r="D30" s="9" t="s">
        <v>34</v>
      </c>
      <c r="E30" s="9" t="str">
        <f>"243410021317"</f>
        <v>243410021317</v>
      </c>
      <c r="F30" s="10">
        <v>75</v>
      </c>
      <c r="G30" s="9">
        <v>87</v>
      </c>
      <c r="H30" s="9">
        <f>F30*0.4+G30*0.6</f>
        <v>82.19999999999999</v>
      </c>
      <c r="I30" s="9"/>
      <c r="J30" s="9">
        <f>H30+I30</f>
        <v>82.19999999999999</v>
      </c>
      <c r="K30" s="17">
        <v>76.67</v>
      </c>
      <c r="L30" s="20">
        <f>J30/1.2*0.4+K30*0.6</f>
        <v>73.402</v>
      </c>
    </row>
    <row r="31" spans="1:12" ht="14.25">
      <c r="A31" s="8">
        <v>29</v>
      </c>
      <c r="B31" s="14" t="s">
        <v>32</v>
      </c>
      <c r="C31" s="14" t="s">
        <v>33</v>
      </c>
      <c r="D31" s="9" t="s">
        <v>34</v>
      </c>
      <c r="E31" s="9" t="str">
        <f>"243410021313"</f>
        <v>243410021313</v>
      </c>
      <c r="F31" s="10">
        <v>70</v>
      </c>
      <c r="G31" s="9">
        <v>80</v>
      </c>
      <c r="H31" s="9">
        <f>F31*0.4+G31*0.6</f>
        <v>76</v>
      </c>
      <c r="I31" s="9"/>
      <c r="J31" s="9">
        <f>H31+I31</f>
        <v>76</v>
      </c>
      <c r="K31" s="17">
        <v>73.63</v>
      </c>
      <c r="L31" s="20">
        <f>J31/1.2*0.4+K31*0.6</f>
        <v>69.51133333333334</v>
      </c>
    </row>
    <row r="32" spans="1:12" ht="14.25">
      <c r="A32" s="8">
        <v>30</v>
      </c>
      <c r="B32" s="9" t="s">
        <v>32</v>
      </c>
      <c r="C32" s="9" t="s">
        <v>33</v>
      </c>
      <c r="D32" s="9" t="s">
        <v>34</v>
      </c>
      <c r="E32" s="9" t="str">
        <f>"243410021318"</f>
        <v>243410021318</v>
      </c>
      <c r="F32" s="10">
        <v>74.5</v>
      </c>
      <c r="G32" s="9">
        <v>84.5</v>
      </c>
      <c r="H32" s="9">
        <f>F32*0.4+G32*0.6</f>
        <v>80.5</v>
      </c>
      <c r="I32" s="9"/>
      <c r="J32" s="9">
        <f>H32+I32</f>
        <v>80.5</v>
      </c>
      <c r="K32" s="17">
        <v>76.73</v>
      </c>
      <c r="L32" s="20">
        <f>J32/1.2*0.4+K32*0.6</f>
        <v>72.87133333333334</v>
      </c>
    </row>
    <row r="33" spans="1:12" ht="14.25">
      <c r="A33" s="8">
        <v>31</v>
      </c>
      <c r="B33" s="9" t="s">
        <v>32</v>
      </c>
      <c r="C33" s="9" t="s">
        <v>35</v>
      </c>
      <c r="D33" s="9" t="s">
        <v>36</v>
      </c>
      <c r="E33" s="9" t="str">
        <f>"243410020219"</f>
        <v>243410020219</v>
      </c>
      <c r="F33" s="10">
        <v>60</v>
      </c>
      <c r="G33" s="9">
        <v>102</v>
      </c>
      <c r="H33" s="9">
        <f>F33*0.4+G33*0.6</f>
        <v>85.19999999999999</v>
      </c>
      <c r="I33" s="9"/>
      <c r="J33" s="9">
        <f>H33+I33</f>
        <v>85.19999999999999</v>
      </c>
      <c r="K33" s="17">
        <v>82.83</v>
      </c>
      <c r="L33" s="20">
        <f>J33/1.2*0.4+K33*0.6</f>
        <v>78.098</v>
      </c>
    </row>
    <row r="34" spans="1:12" ht="14.25">
      <c r="A34" s="8">
        <v>32</v>
      </c>
      <c r="B34" s="11" t="s">
        <v>32</v>
      </c>
      <c r="C34" s="11" t="s">
        <v>35</v>
      </c>
      <c r="D34" s="11" t="s">
        <v>36</v>
      </c>
      <c r="E34" s="9" t="str">
        <f>"243410020220"</f>
        <v>243410020220</v>
      </c>
      <c r="F34" s="10">
        <v>55</v>
      </c>
      <c r="G34" s="9">
        <v>82.5</v>
      </c>
      <c r="H34" s="9">
        <f>F34*0.4+G34*0.6</f>
        <v>71.5</v>
      </c>
      <c r="I34" s="9"/>
      <c r="J34" s="9">
        <f>H34+I34</f>
        <v>71.5</v>
      </c>
      <c r="K34" s="17">
        <v>67.67</v>
      </c>
      <c r="L34" s="20">
        <f>J34/1.2*0.4+K34*0.6</f>
        <v>64.43533333333333</v>
      </c>
    </row>
    <row r="35" spans="1:12" ht="14.25">
      <c r="A35" s="8">
        <v>33</v>
      </c>
      <c r="B35" s="9" t="s">
        <v>32</v>
      </c>
      <c r="C35" s="9" t="s">
        <v>35</v>
      </c>
      <c r="D35" s="9" t="s">
        <v>36</v>
      </c>
      <c r="E35" s="9" t="str">
        <f>"243410020217"</f>
        <v>243410020217</v>
      </c>
      <c r="F35" s="10">
        <v>64</v>
      </c>
      <c r="G35" s="9">
        <v>102.5</v>
      </c>
      <c r="H35" s="9">
        <f>F35*0.4+G35*0.6</f>
        <v>87.1</v>
      </c>
      <c r="I35" s="9"/>
      <c r="J35" s="9">
        <f>H35+I35</f>
        <v>87.1</v>
      </c>
      <c r="K35" s="17">
        <v>84</v>
      </c>
      <c r="L35" s="20">
        <f>J35/1.2*0.4+K35*0.6</f>
        <v>79.43333333333334</v>
      </c>
    </row>
    <row r="36" spans="1:12" ht="14.25">
      <c r="A36" s="8">
        <v>34</v>
      </c>
      <c r="B36" s="9" t="s">
        <v>32</v>
      </c>
      <c r="C36" s="9" t="s">
        <v>37</v>
      </c>
      <c r="D36" s="9" t="s">
        <v>38</v>
      </c>
      <c r="E36" s="9" t="str">
        <f>"243410021010"</f>
        <v>243410021010</v>
      </c>
      <c r="F36" s="10">
        <v>77</v>
      </c>
      <c r="G36" s="9">
        <v>91</v>
      </c>
      <c r="H36" s="9">
        <f>F36*0.4+G36*0.6</f>
        <v>85.4</v>
      </c>
      <c r="I36" s="9"/>
      <c r="J36" s="9">
        <f>H36+I36</f>
        <v>85.4</v>
      </c>
      <c r="K36" s="17">
        <v>83.33</v>
      </c>
      <c r="L36" s="20">
        <f>J36/1.2*0.4+K36*0.6</f>
        <v>78.46466666666666</v>
      </c>
    </row>
    <row r="37" spans="1:12" ht="14.25">
      <c r="A37" s="8">
        <v>35</v>
      </c>
      <c r="B37" s="9" t="s">
        <v>32</v>
      </c>
      <c r="C37" s="9" t="s">
        <v>37</v>
      </c>
      <c r="D37" s="9" t="s">
        <v>38</v>
      </c>
      <c r="E37" s="9" t="str">
        <f>"243410021009"</f>
        <v>243410021009</v>
      </c>
      <c r="F37" s="10">
        <v>68.5</v>
      </c>
      <c r="G37" s="9">
        <v>80</v>
      </c>
      <c r="H37" s="9">
        <f>F37*0.4+G37*0.6</f>
        <v>75.4</v>
      </c>
      <c r="I37" s="9"/>
      <c r="J37" s="9">
        <f>H37+I37</f>
        <v>75.4</v>
      </c>
      <c r="K37" s="17">
        <v>82.63</v>
      </c>
      <c r="L37" s="20">
        <f>J37/1.2*0.4+K37*0.6</f>
        <v>74.71133333333333</v>
      </c>
    </row>
    <row r="38" spans="1:12" ht="14.25">
      <c r="A38" s="8">
        <v>36</v>
      </c>
      <c r="B38" s="9" t="s">
        <v>32</v>
      </c>
      <c r="C38" s="9" t="s">
        <v>37</v>
      </c>
      <c r="D38" s="9" t="s">
        <v>38</v>
      </c>
      <c r="E38" s="9" t="str">
        <f>"243410021019"</f>
        <v>243410021019</v>
      </c>
      <c r="F38" s="10">
        <v>74</v>
      </c>
      <c r="G38" s="9">
        <v>91.5</v>
      </c>
      <c r="H38" s="9">
        <f>F38*0.4+G38*0.6</f>
        <v>84.5</v>
      </c>
      <c r="I38" s="9"/>
      <c r="J38" s="9">
        <f>H38+I38</f>
        <v>84.5</v>
      </c>
      <c r="K38" s="17">
        <v>84.1</v>
      </c>
      <c r="L38" s="20">
        <f>J38/1.2*0.4+K38*0.6</f>
        <v>78.62666666666667</v>
      </c>
    </row>
    <row r="39" spans="1:12" ht="14.25">
      <c r="A39" s="8">
        <v>37</v>
      </c>
      <c r="B39" s="9" t="s">
        <v>39</v>
      </c>
      <c r="C39" s="9" t="s">
        <v>40</v>
      </c>
      <c r="D39" s="9" t="s">
        <v>41</v>
      </c>
      <c r="E39" s="9" t="str">
        <f>"243410020502"</f>
        <v>243410020502</v>
      </c>
      <c r="F39" s="10">
        <v>82.5</v>
      </c>
      <c r="G39" s="9">
        <v>54</v>
      </c>
      <c r="H39" s="9">
        <f>F39*0.4+G39*0.6</f>
        <v>65.4</v>
      </c>
      <c r="I39" s="9"/>
      <c r="J39" s="9">
        <f>H39+I39</f>
        <v>65.4</v>
      </c>
      <c r="K39" s="17">
        <v>78.77</v>
      </c>
      <c r="L39" s="20">
        <f>J39/1.2*0.4+K39*0.6</f>
        <v>69.062</v>
      </c>
    </row>
    <row r="40" spans="1:12" ht="14.25">
      <c r="A40" s="8">
        <v>38</v>
      </c>
      <c r="B40" s="9" t="s">
        <v>39</v>
      </c>
      <c r="C40" s="9" t="s">
        <v>42</v>
      </c>
      <c r="D40" s="9" t="s">
        <v>38</v>
      </c>
      <c r="E40" s="9" t="str">
        <f>"243410021021"</f>
        <v>243410021021</v>
      </c>
      <c r="F40" s="10">
        <v>75.5</v>
      </c>
      <c r="G40" s="9">
        <v>87.5</v>
      </c>
      <c r="H40" s="9">
        <f>F40*0.4+G40*0.6</f>
        <v>82.7</v>
      </c>
      <c r="I40" s="9"/>
      <c r="J40" s="9">
        <f>H40+I40</f>
        <v>82.7</v>
      </c>
      <c r="K40" s="17">
        <v>80.93</v>
      </c>
      <c r="L40" s="20">
        <f>J40/1.2*0.4+K40*0.6</f>
        <v>76.12466666666667</v>
      </c>
    </row>
    <row r="41" spans="1:12" ht="14.25">
      <c r="A41" s="8">
        <v>39</v>
      </c>
      <c r="B41" s="9" t="s">
        <v>39</v>
      </c>
      <c r="C41" s="9" t="s">
        <v>42</v>
      </c>
      <c r="D41" s="9" t="s">
        <v>38</v>
      </c>
      <c r="E41" s="9" t="str">
        <f>"243410021105"</f>
        <v>243410021105</v>
      </c>
      <c r="F41" s="10">
        <v>94.5</v>
      </c>
      <c r="G41" s="9">
        <v>83</v>
      </c>
      <c r="H41" s="9">
        <f>F41*0.4+G41*0.6</f>
        <v>87.6</v>
      </c>
      <c r="I41" s="9"/>
      <c r="J41" s="9">
        <f>H41+I41</f>
        <v>87.6</v>
      </c>
      <c r="K41" s="17">
        <v>82.9</v>
      </c>
      <c r="L41" s="20">
        <f>J41/1.2*0.4+K41*0.6</f>
        <v>78.94</v>
      </c>
    </row>
    <row r="42" spans="1:12" ht="14.25">
      <c r="A42" s="8">
        <v>40</v>
      </c>
      <c r="B42" s="9" t="s">
        <v>39</v>
      </c>
      <c r="C42" s="9" t="s">
        <v>42</v>
      </c>
      <c r="D42" s="9" t="s">
        <v>38</v>
      </c>
      <c r="E42" s="9" t="str">
        <f>"243410021022"</f>
        <v>243410021022</v>
      </c>
      <c r="F42" s="10">
        <v>75</v>
      </c>
      <c r="G42" s="9">
        <v>89.5</v>
      </c>
      <c r="H42" s="9">
        <f>F42*0.4+G42*0.6</f>
        <v>83.69999999999999</v>
      </c>
      <c r="I42" s="9"/>
      <c r="J42" s="9">
        <f>H42+I42</f>
        <v>83.69999999999999</v>
      </c>
      <c r="K42" s="17">
        <v>81.13</v>
      </c>
      <c r="L42" s="20">
        <f>J42/1.2*0.4+K42*0.6</f>
        <v>76.578</v>
      </c>
    </row>
    <row r="43" spans="1:12" ht="14.25">
      <c r="A43" s="8">
        <v>41</v>
      </c>
      <c r="B43" s="9" t="s">
        <v>39</v>
      </c>
      <c r="C43" s="9" t="s">
        <v>43</v>
      </c>
      <c r="D43" s="9" t="s">
        <v>44</v>
      </c>
      <c r="E43" s="9" t="str">
        <f>"243410022113"</f>
        <v>243410022113</v>
      </c>
      <c r="F43" s="10">
        <v>82</v>
      </c>
      <c r="G43" s="9">
        <v>86</v>
      </c>
      <c r="H43" s="9">
        <f>F43*0.4+G43*0.6</f>
        <v>84.4</v>
      </c>
      <c r="I43" s="9"/>
      <c r="J43" s="9">
        <f>H43+I43</f>
        <v>84.4</v>
      </c>
      <c r="K43" s="17">
        <v>76.9</v>
      </c>
      <c r="L43" s="20">
        <f>J43/1.2*0.4+K43*0.6</f>
        <v>74.27333333333334</v>
      </c>
    </row>
    <row r="44" spans="1:12" ht="14.25">
      <c r="A44" s="8">
        <v>42</v>
      </c>
      <c r="B44" s="9" t="s">
        <v>39</v>
      </c>
      <c r="C44" s="9" t="s">
        <v>43</v>
      </c>
      <c r="D44" s="9" t="s">
        <v>44</v>
      </c>
      <c r="E44" s="9" t="str">
        <f>"243410022117"</f>
        <v>243410022117</v>
      </c>
      <c r="F44" s="10">
        <v>73.5</v>
      </c>
      <c r="G44" s="9">
        <v>92.5</v>
      </c>
      <c r="H44" s="9">
        <f>F44*0.4+G44*0.6</f>
        <v>84.9</v>
      </c>
      <c r="I44" s="9"/>
      <c r="J44" s="9">
        <f>H44+I44</f>
        <v>84.9</v>
      </c>
      <c r="K44" s="17">
        <v>80.23</v>
      </c>
      <c r="L44" s="20">
        <f>J44/1.2*0.4+K44*0.6</f>
        <v>76.438</v>
      </c>
    </row>
    <row r="45" spans="1:12" ht="14.25">
      <c r="A45" s="8">
        <v>43</v>
      </c>
      <c r="B45" s="14" t="s">
        <v>39</v>
      </c>
      <c r="C45" s="14" t="s">
        <v>43</v>
      </c>
      <c r="D45" s="9" t="s">
        <v>44</v>
      </c>
      <c r="E45" s="9" t="str">
        <f>"243410022114"</f>
        <v>243410022114</v>
      </c>
      <c r="F45" s="10">
        <v>80.5</v>
      </c>
      <c r="G45" s="9">
        <v>87.5</v>
      </c>
      <c r="H45" s="9">
        <f>F45*0.4+G45*0.6</f>
        <v>84.7</v>
      </c>
      <c r="I45" s="9"/>
      <c r="J45" s="9">
        <f>H45+I45</f>
        <v>84.7</v>
      </c>
      <c r="K45" s="17">
        <v>79.9</v>
      </c>
      <c r="L45" s="20">
        <f>J45/1.2*0.4+K45*0.6</f>
        <v>76.17333333333335</v>
      </c>
    </row>
    <row r="46" spans="1:12" ht="14.25">
      <c r="A46" s="8">
        <v>44</v>
      </c>
      <c r="B46" s="9" t="s">
        <v>39</v>
      </c>
      <c r="C46" s="9" t="s">
        <v>43</v>
      </c>
      <c r="D46" s="9" t="s">
        <v>44</v>
      </c>
      <c r="E46" s="9" t="str">
        <f>"243410022028"</f>
        <v>243410022028</v>
      </c>
      <c r="F46" s="10">
        <v>86</v>
      </c>
      <c r="G46" s="9">
        <v>90.5</v>
      </c>
      <c r="H46" s="9">
        <f>F46*0.4+G46*0.6</f>
        <v>88.69999999999999</v>
      </c>
      <c r="I46" s="9"/>
      <c r="J46" s="9">
        <f>H46+I46</f>
        <v>88.69999999999999</v>
      </c>
      <c r="K46" s="17">
        <v>84.07</v>
      </c>
      <c r="L46" s="20">
        <f>J46/1.2*0.4+K46*0.6</f>
        <v>80.00866666666666</v>
      </c>
    </row>
    <row r="47" spans="1:12" ht="14.25">
      <c r="A47" s="8">
        <v>45</v>
      </c>
      <c r="B47" s="9" t="s">
        <v>39</v>
      </c>
      <c r="C47" s="9" t="s">
        <v>43</v>
      </c>
      <c r="D47" s="9" t="s">
        <v>44</v>
      </c>
      <c r="E47" s="9" t="str">
        <f>"243410022027"</f>
        <v>243410022027</v>
      </c>
      <c r="F47" s="10">
        <v>79.5</v>
      </c>
      <c r="G47" s="9">
        <v>95.5</v>
      </c>
      <c r="H47" s="9">
        <f>F47*0.4+G47*0.6</f>
        <v>89.1</v>
      </c>
      <c r="I47" s="9"/>
      <c r="J47" s="9">
        <f>H47+I47</f>
        <v>89.1</v>
      </c>
      <c r="K47" s="17">
        <v>78</v>
      </c>
      <c r="L47" s="20">
        <f>J47/1.2*0.4+K47*0.6</f>
        <v>76.5</v>
      </c>
    </row>
    <row r="48" spans="1:12" ht="14.25">
      <c r="A48" s="8">
        <v>46</v>
      </c>
      <c r="B48" s="9" t="s">
        <v>39</v>
      </c>
      <c r="C48" s="9" t="s">
        <v>43</v>
      </c>
      <c r="D48" s="9" t="s">
        <v>44</v>
      </c>
      <c r="E48" s="9" t="str">
        <f>"243410022105"</f>
        <v>243410022105</v>
      </c>
      <c r="F48" s="10">
        <v>89.5</v>
      </c>
      <c r="G48" s="9">
        <v>85.5</v>
      </c>
      <c r="H48" s="9">
        <f>F48*0.4+G48*0.6</f>
        <v>87.1</v>
      </c>
      <c r="I48" s="9"/>
      <c r="J48" s="9">
        <f>H48+I48</f>
        <v>87.1</v>
      </c>
      <c r="K48" s="17">
        <v>77.43</v>
      </c>
      <c r="L48" s="20">
        <f>J48/1.2*0.4+K48*0.6</f>
        <v>75.49133333333333</v>
      </c>
    </row>
    <row r="49" spans="1:12" ht="14.25">
      <c r="A49" s="8">
        <v>47</v>
      </c>
      <c r="B49" s="9" t="s">
        <v>39</v>
      </c>
      <c r="C49" s="9" t="s">
        <v>45</v>
      </c>
      <c r="D49" s="9" t="s">
        <v>44</v>
      </c>
      <c r="E49" s="9" t="str">
        <f>"243410022123"</f>
        <v>243410022123</v>
      </c>
      <c r="F49" s="10">
        <v>76.5</v>
      </c>
      <c r="G49" s="9">
        <v>91</v>
      </c>
      <c r="H49" s="9">
        <f>F49*0.4+G49*0.6</f>
        <v>85.2</v>
      </c>
      <c r="I49" s="9"/>
      <c r="J49" s="9">
        <f>H49+I49</f>
        <v>85.2</v>
      </c>
      <c r="K49" s="17">
        <v>81.8</v>
      </c>
      <c r="L49" s="20">
        <f>J49/1.2*0.4+K49*0.6</f>
        <v>77.48</v>
      </c>
    </row>
    <row r="50" spans="1:12" ht="14.25">
      <c r="A50" s="8">
        <v>48</v>
      </c>
      <c r="B50" s="9" t="s">
        <v>39</v>
      </c>
      <c r="C50" s="9" t="s">
        <v>45</v>
      </c>
      <c r="D50" s="9" t="s">
        <v>44</v>
      </c>
      <c r="E50" s="9" t="str">
        <f>"243410022208"</f>
        <v>243410022208</v>
      </c>
      <c r="F50" s="10">
        <v>72</v>
      </c>
      <c r="G50" s="9">
        <v>90</v>
      </c>
      <c r="H50" s="9">
        <f>F50*0.4+G50*0.6</f>
        <v>82.8</v>
      </c>
      <c r="I50" s="9"/>
      <c r="J50" s="9">
        <f>H50+I50</f>
        <v>82.8</v>
      </c>
      <c r="K50" s="17">
        <v>68</v>
      </c>
      <c r="L50" s="20">
        <f>J50/1.2*0.4+K50*0.6</f>
        <v>68.4</v>
      </c>
    </row>
    <row r="51" spans="1:12" ht="14.25">
      <c r="A51" s="8">
        <v>49</v>
      </c>
      <c r="B51" s="9" t="s">
        <v>39</v>
      </c>
      <c r="C51" s="9" t="s">
        <v>45</v>
      </c>
      <c r="D51" s="9" t="s">
        <v>44</v>
      </c>
      <c r="E51" s="9" t="str">
        <f>"243410022127"</f>
        <v>243410022127</v>
      </c>
      <c r="F51" s="10">
        <v>83.5</v>
      </c>
      <c r="G51" s="9">
        <v>83.5</v>
      </c>
      <c r="H51" s="9">
        <f>F51*0.4+G51*0.6</f>
        <v>83.5</v>
      </c>
      <c r="I51" s="9"/>
      <c r="J51" s="9">
        <f>H51+I51</f>
        <v>83.5</v>
      </c>
      <c r="K51" s="17">
        <v>76.57</v>
      </c>
      <c r="L51" s="20">
        <f>J51/1.2*0.4+K51*0.6</f>
        <v>73.77533333333334</v>
      </c>
    </row>
    <row r="52" spans="1:12" ht="14.25">
      <c r="A52" s="8">
        <v>50</v>
      </c>
      <c r="B52" s="11" t="s">
        <v>39</v>
      </c>
      <c r="C52" s="11" t="s">
        <v>46</v>
      </c>
      <c r="D52" s="11" t="s">
        <v>34</v>
      </c>
      <c r="E52" s="9" t="str">
        <f>"243410021403"</f>
        <v>243410021403</v>
      </c>
      <c r="F52" s="10">
        <v>69.5</v>
      </c>
      <c r="G52" s="9">
        <v>76.5</v>
      </c>
      <c r="H52" s="9">
        <f>F52*0.4+G52*0.6</f>
        <v>73.7</v>
      </c>
      <c r="I52" s="9"/>
      <c r="J52" s="9">
        <f>H52+I52</f>
        <v>73.7</v>
      </c>
      <c r="K52" s="17">
        <v>81.63</v>
      </c>
      <c r="L52" s="20">
        <f>J52/1.2*0.4+K52*0.6</f>
        <v>73.54466666666667</v>
      </c>
    </row>
    <row r="53" spans="1:12" ht="14.25">
      <c r="A53" s="8">
        <v>51</v>
      </c>
      <c r="B53" s="9" t="s">
        <v>39</v>
      </c>
      <c r="C53" s="9" t="s">
        <v>46</v>
      </c>
      <c r="D53" s="9" t="s">
        <v>34</v>
      </c>
      <c r="E53" s="9" t="str">
        <f>"243410021406"</f>
        <v>243410021406</v>
      </c>
      <c r="F53" s="10">
        <v>67.5</v>
      </c>
      <c r="G53" s="9">
        <v>81</v>
      </c>
      <c r="H53" s="9">
        <f>F53*0.4+G53*0.6</f>
        <v>75.6</v>
      </c>
      <c r="I53" s="9"/>
      <c r="J53" s="9">
        <f>H53+I53</f>
        <v>75.6</v>
      </c>
      <c r="K53" s="17">
        <v>84.2</v>
      </c>
      <c r="L53" s="20">
        <f>J53/1.2*0.4+K53*0.6</f>
        <v>75.72</v>
      </c>
    </row>
    <row r="54" spans="1:12" ht="14.25">
      <c r="A54" s="8">
        <v>52</v>
      </c>
      <c r="B54" s="9" t="s">
        <v>39</v>
      </c>
      <c r="C54" s="9" t="s">
        <v>46</v>
      </c>
      <c r="D54" s="9" t="s">
        <v>34</v>
      </c>
      <c r="E54" s="9" t="str">
        <f>"243410021324"</f>
        <v>243410021324</v>
      </c>
      <c r="F54" s="10">
        <v>78</v>
      </c>
      <c r="G54" s="9">
        <v>78.5</v>
      </c>
      <c r="H54" s="9">
        <f>F54*0.4+G54*0.6</f>
        <v>78.30000000000001</v>
      </c>
      <c r="I54" s="9"/>
      <c r="J54" s="9">
        <f>H54+I54</f>
        <v>78.30000000000001</v>
      </c>
      <c r="K54" s="17">
        <v>77.1</v>
      </c>
      <c r="L54" s="20">
        <f>J54/1.2*0.4+K54*0.6</f>
        <v>72.36000000000001</v>
      </c>
    </row>
    <row r="55" spans="1:12" ht="14.25">
      <c r="A55" s="8">
        <v>53</v>
      </c>
      <c r="B55" s="9" t="s">
        <v>39</v>
      </c>
      <c r="C55" s="9" t="s">
        <v>46</v>
      </c>
      <c r="D55" s="9" t="s">
        <v>34</v>
      </c>
      <c r="E55" s="9" t="str">
        <f>"243410021329"</f>
        <v>243410021329</v>
      </c>
      <c r="F55" s="10">
        <v>82</v>
      </c>
      <c r="G55" s="9">
        <v>75.5</v>
      </c>
      <c r="H55" s="9">
        <f>F55*0.4+G55*0.6</f>
        <v>78.1</v>
      </c>
      <c r="I55" s="9"/>
      <c r="J55" s="9">
        <f>H55+I55</f>
        <v>78.1</v>
      </c>
      <c r="K55" s="17">
        <v>75.83</v>
      </c>
      <c r="L55" s="20">
        <f>J55/1.2*0.4+K55*0.6</f>
        <v>71.53133333333332</v>
      </c>
    </row>
    <row r="56" spans="1:12" ht="14.25">
      <c r="A56" s="8">
        <v>54</v>
      </c>
      <c r="B56" s="9" t="s">
        <v>39</v>
      </c>
      <c r="C56" s="9" t="s">
        <v>46</v>
      </c>
      <c r="D56" s="9" t="s">
        <v>34</v>
      </c>
      <c r="E56" s="9" t="str">
        <f>"243410021405"</f>
        <v>243410021405</v>
      </c>
      <c r="F56" s="10">
        <v>73</v>
      </c>
      <c r="G56" s="9">
        <v>74.5</v>
      </c>
      <c r="H56" s="9">
        <f>F56*0.4+G56*0.6</f>
        <v>73.9</v>
      </c>
      <c r="I56" s="9"/>
      <c r="J56" s="9">
        <f>H56+I56</f>
        <v>73.9</v>
      </c>
      <c r="K56" s="17">
        <v>75.37</v>
      </c>
      <c r="L56" s="20">
        <f>J56/1.2*0.4+K56*0.6</f>
        <v>69.85533333333333</v>
      </c>
    </row>
    <row r="57" spans="1:12" ht="14.25">
      <c r="A57" s="8">
        <v>55</v>
      </c>
      <c r="B57" s="9" t="s">
        <v>39</v>
      </c>
      <c r="C57" s="9" t="s">
        <v>46</v>
      </c>
      <c r="D57" s="9" t="s">
        <v>34</v>
      </c>
      <c r="E57" s="9" t="str">
        <f>"243410021323"</f>
        <v>243410021323</v>
      </c>
      <c r="F57" s="10">
        <v>70.5</v>
      </c>
      <c r="G57" s="9">
        <v>76</v>
      </c>
      <c r="H57" s="9">
        <f>F57*0.4+G57*0.6</f>
        <v>73.80000000000001</v>
      </c>
      <c r="I57" s="9"/>
      <c r="J57" s="9">
        <f>H57+I57</f>
        <v>73.80000000000001</v>
      </c>
      <c r="K57" s="17">
        <v>61.93</v>
      </c>
      <c r="L57" s="20">
        <f>J57/1.2*0.4+K57*0.6</f>
        <v>61.75800000000001</v>
      </c>
    </row>
    <row r="58" spans="1:12" ht="14.25">
      <c r="A58" s="8">
        <v>56</v>
      </c>
      <c r="B58" s="9" t="s">
        <v>39</v>
      </c>
      <c r="C58" s="9" t="s">
        <v>47</v>
      </c>
      <c r="D58" s="9" t="s">
        <v>34</v>
      </c>
      <c r="E58" s="9" t="str">
        <f>"243410021416"</f>
        <v>243410021416</v>
      </c>
      <c r="F58" s="10">
        <v>74.5</v>
      </c>
      <c r="G58" s="9">
        <v>77</v>
      </c>
      <c r="H58" s="9">
        <f>F58*0.4+G58*0.6</f>
        <v>76</v>
      </c>
      <c r="I58" s="9"/>
      <c r="J58" s="9">
        <f>H58+I58</f>
        <v>76</v>
      </c>
      <c r="K58" s="17">
        <v>80.47</v>
      </c>
      <c r="L58" s="20">
        <f>J58/1.2*0.4+K58*0.6</f>
        <v>73.61533333333333</v>
      </c>
    </row>
    <row r="59" spans="1:12" ht="14.25">
      <c r="A59" s="8">
        <v>57</v>
      </c>
      <c r="B59" s="9" t="s">
        <v>39</v>
      </c>
      <c r="C59" s="9" t="s">
        <v>47</v>
      </c>
      <c r="D59" s="9" t="s">
        <v>34</v>
      </c>
      <c r="E59" s="9" t="str">
        <f>"243410021412"</f>
        <v>243410021412</v>
      </c>
      <c r="F59" s="10">
        <v>72</v>
      </c>
      <c r="G59" s="9">
        <v>81</v>
      </c>
      <c r="H59" s="9">
        <f>F59*0.4+G59*0.6</f>
        <v>77.4</v>
      </c>
      <c r="I59" s="9"/>
      <c r="J59" s="9">
        <f>H59+I59</f>
        <v>77.4</v>
      </c>
      <c r="K59" s="17">
        <v>75.43</v>
      </c>
      <c r="L59" s="20">
        <f>J59/1.2*0.4+K59*0.6</f>
        <v>71.058</v>
      </c>
    </row>
    <row r="60" spans="1:12" ht="14.25">
      <c r="A60" s="8">
        <v>58</v>
      </c>
      <c r="B60" s="9" t="s">
        <v>39</v>
      </c>
      <c r="C60" s="9" t="s">
        <v>47</v>
      </c>
      <c r="D60" s="9" t="s">
        <v>34</v>
      </c>
      <c r="E60" s="9" t="str">
        <f>"243410021423"</f>
        <v>243410021423</v>
      </c>
      <c r="F60" s="10">
        <v>71</v>
      </c>
      <c r="G60" s="9">
        <v>79</v>
      </c>
      <c r="H60" s="9">
        <f>F60*0.4+G60*0.6</f>
        <v>75.8</v>
      </c>
      <c r="I60" s="9"/>
      <c r="J60" s="9">
        <f>H60+I60</f>
        <v>75.8</v>
      </c>
      <c r="K60" s="17">
        <v>79.1</v>
      </c>
      <c r="L60" s="20">
        <f>J60/1.2*0.4+K60*0.6</f>
        <v>72.72666666666666</v>
      </c>
    </row>
    <row r="61" spans="1:12" ht="14.25">
      <c r="A61" s="8">
        <v>59</v>
      </c>
      <c r="B61" s="9" t="s">
        <v>39</v>
      </c>
      <c r="C61" s="9" t="s">
        <v>48</v>
      </c>
      <c r="D61" s="9" t="s">
        <v>49</v>
      </c>
      <c r="E61" s="9" t="str">
        <f>"243410013914"</f>
        <v>243410013914</v>
      </c>
      <c r="F61" s="10">
        <v>75.5</v>
      </c>
      <c r="G61" s="9">
        <v>100.5</v>
      </c>
      <c r="H61" s="9">
        <f>F61*0.4+G61*0.6</f>
        <v>90.5</v>
      </c>
      <c r="I61" s="9"/>
      <c r="J61" s="9">
        <f>H61+I61</f>
        <v>90.5</v>
      </c>
      <c r="K61" s="17">
        <v>82.67</v>
      </c>
      <c r="L61" s="20">
        <f>J61/1.2*0.4+K61*0.6</f>
        <v>79.76866666666666</v>
      </c>
    </row>
    <row r="62" spans="1:12" ht="14.25">
      <c r="A62" s="8">
        <v>60</v>
      </c>
      <c r="B62" s="9" t="s">
        <v>39</v>
      </c>
      <c r="C62" s="9" t="s">
        <v>48</v>
      </c>
      <c r="D62" s="9" t="s">
        <v>49</v>
      </c>
      <c r="E62" s="9" t="str">
        <f>"243410013918"</f>
        <v>243410013918</v>
      </c>
      <c r="F62" s="10">
        <v>86.5</v>
      </c>
      <c r="G62" s="9">
        <v>92</v>
      </c>
      <c r="H62" s="9">
        <f>F62*0.4+G62*0.6</f>
        <v>89.8</v>
      </c>
      <c r="I62" s="9"/>
      <c r="J62" s="9">
        <f>H62+I62</f>
        <v>89.8</v>
      </c>
      <c r="K62" s="17">
        <v>80.47</v>
      </c>
      <c r="L62" s="20">
        <f>J62/1.2*0.4+K62*0.6</f>
        <v>78.21533333333333</v>
      </c>
    </row>
    <row r="63" spans="1:12" ht="14.25">
      <c r="A63" s="8">
        <v>61</v>
      </c>
      <c r="B63" s="11" t="s">
        <v>39</v>
      </c>
      <c r="C63" s="11" t="s">
        <v>48</v>
      </c>
      <c r="D63" s="11" t="s">
        <v>49</v>
      </c>
      <c r="E63" s="9" t="str">
        <f>"243410013913"</f>
        <v>243410013913</v>
      </c>
      <c r="F63" s="10">
        <v>79</v>
      </c>
      <c r="G63" s="9">
        <v>84</v>
      </c>
      <c r="H63" s="9">
        <f>F63*0.4+G63*0.6</f>
        <v>82</v>
      </c>
      <c r="I63" s="9"/>
      <c r="J63" s="9">
        <f>H63+I63</f>
        <v>82</v>
      </c>
      <c r="K63" s="17">
        <v>75.5</v>
      </c>
      <c r="L63" s="20">
        <f>J63/1.2*0.4+K63*0.6</f>
        <v>72.63333333333334</v>
      </c>
    </row>
    <row r="64" spans="1:12" ht="14.25">
      <c r="A64" s="8">
        <v>62</v>
      </c>
      <c r="B64" s="9" t="s">
        <v>39</v>
      </c>
      <c r="C64" s="9" t="s">
        <v>50</v>
      </c>
      <c r="D64" s="9" t="s">
        <v>51</v>
      </c>
      <c r="E64" s="9" t="str">
        <f>"243410020123"</f>
        <v>243410020123</v>
      </c>
      <c r="F64" s="10">
        <v>76.5</v>
      </c>
      <c r="G64" s="9">
        <v>72</v>
      </c>
      <c r="H64" s="9">
        <f>F64*0.4+G64*0.6</f>
        <v>73.8</v>
      </c>
      <c r="I64" s="9"/>
      <c r="J64" s="9">
        <f>H64+I64</f>
        <v>73.8</v>
      </c>
      <c r="K64" s="17">
        <v>74.6</v>
      </c>
      <c r="L64" s="20">
        <f>J64/1.2*0.4+K64*0.6</f>
        <v>69.36</v>
      </c>
    </row>
    <row r="65" spans="1:12" ht="14.25">
      <c r="A65" s="8">
        <v>63</v>
      </c>
      <c r="B65" s="9" t="s">
        <v>39</v>
      </c>
      <c r="C65" s="9" t="s">
        <v>50</v>
      </c>
      <c r="D65" s="9" t="s">
        <v>51</v>
      </c>
      <c r="E65" s="9" t="str">
        <f>"243410020129"</f>
        <v>243410020129</v>
      </c>
      <c r="F65" s="10">
        <v>74.5</v>
      </c>
      <c r="G65" s="9">
        <v>99.5</v>
      </c>
      <c r="H65" s="9">
        <f>F65*0.4+G65*0.6</f>
        <v>89.5</v>
      </c>
      <c r="I65" s="9"/>
      <c r="J65" s="9">
        <f>H65+I65</f>
        <v>89.5</v>
      </c>
      <c r="K65" s="17">
        <v>78.8</v>
      </c>
      <c r="L65" s="20">
        <f>J65/1.2*0.4+K65*0.6</f>
        <v>77.11333333333333</v>
      </c>
    </row>
    <row r="66" spans="1:12" ht="14.25">
      <c r="A66" s="8">
        <v>64</v>
      </c>
      <c r="B66" s="9" t="s">
        <v>39</v>
      </c>
      <c r="C66" s="9" t="s">
        <v>50</v>
      </c>
      <c r="D66" s="9" t="s">
        <v>51</v>
      </c>
      <c r="E66" s="9" t="str">
        <f>"243410020119"</f>
        <v>243410020119</v>
      </c>
      <c r="F66" s="10">
        <v>81</v>
      </c>
      <c r="G66" s="9">
        <v>84.5</v>
      </c>
      <c r="H66" s="9">
        <f>F66*0.4+G66*0.6</f>
        <v>83.1</v>
      </c>
      <c r="I66" s="9"/>
      <c r="J66" s="9">
        <f>H66+I66</f>
        <v>83.1</v>
      </c>
      <c r="K66" s="17">
        <v>74.03</v>
      </c>
      <c r="L66" s="20">
        <f>J66/1.2*0.4+K66*0.6</f>
        <v>72.118</v>
      </c>
    </row>
    <row r="67" spans="1:12" ht="14.25">
      <c r="A67" s="8">
        <v>65</v>
      </c>
      <c r="B67" s="9" t="s">
        <v>39</v>
      </c>
      <c r="C67" s="9" t="s">
        <v>52</v>
      </c>
      <c r="D67" s="9" t="s">
        <v>53</v>
      </c>
      <c r="E67" s="9" t="str">
        <f>"243410021207"</f>
        <v>243410021207</v>
      </c>
      <c r="F67" s="10">
        <v>54</v>
      </c>
      <c r="G67" s="9">
        <v>68.5</v>
      </c>
      <c r="H67" s="9">
        <f>F67*0.4+G67*0.6</f>
        <v>62.7</v>
      </c>
      <c r="I67" s="9"/>
      <c r="J67" s="9">
        <f>H67+I67</f>
        <v>62.7</v>
      </c>
      <c r="K67" s="17">
        <v>77.67</v>
      </c>
      <c r="L67" s="20">
        <f>J67/1.2*0.4+K67*0.6</f>
        <v>67.50200000000001</v>
      </c>
    </row>
    <row r="68" spans="1:12" ht="14.25">
      <c r="A68" s="8">
        <v>66</v>
      </c>
      <c r="B68" s="9" t="s">
        <v>39</v>
      </c>
      <c r="C68" s="9" t="s">
        <v>52</v>
      </c>
      <c r="D68" s="9" t="s">
        <v>53</v>
      </c>
      <c r="E68" s="9" t="str">
        <f>"243410021211"</f>
        <v>243410021211</v>
      </c>
      <c r="F68" s="10">
        <v>63.5</v>
      </c>
      <c r="G68" s="9">
        <v>73.5</v>
      </c>
      <c r="H68" s="9">
        <f>F68*0.4+G68*0.6</f>
        <v>69.5</v>
      </c>
      <c r="I68" s="9"/>
      <c r="J68" s="9">
        <f>H68+I68</f>
        <v>69.5</v>
      </c>
      <c r="K68" s="17">
        <v>77.5</v>
      </c>
      <c r="L68" s="20">
        <f>J68/1.2*0.4+K68*0.6</f>
        <v>69.66666666666667</v>
      </c>
    </row>
    <row r="69" spans="1:12" ht="14.25">
      <c r="A69" s="8">
        <v>67</v>
      </c>
      <c r="B69" s="9" t="s">
        <v>39</v>
      </c>
      <c r="C69" s="9" t="s">
        <v>52</v>
      </c>
      <c r="D69" s="9" t="s">
        <v>53</v>
      </c>
      <c r="E69" s="9" t="str">
        <f>"243410021205"</f>
        <v>243410021205</v>
      </c>
      <c r="F69" s="10">
        <v>81</v>
      </c>
      <c r="G69" s="9">
        <v>87</v>
      </c>
      <c r="H69" s="9">
        <f>F69*0.4+G69*0.6</f>
        <v>84.6</v>
      </c>
      <c r="I69" s="9"/>
      <c r="J69" s="9">
        <f>H69+I69</f>
        <v>84.6</v>
      </c>
      <c r="K69" s="17">
        <v>84.33</v>
      </c>
      <c r="L69" s="20">
        <f>J69/1.2*0.4+K69*0.6</f>
        <v>78.798</v>
      </c>
    </row>
    <row r="70" spans="1:12" ht="14.25">
      <c r="A70" s="8">
        <v>68</v>
      </c>
      <c r="B70" s="9" t="s">
        <v>39</v>
      </c>
      <c r="C70" s="9" t="s">
        <v>54</v>
      </c>
      <c r="D70" s="9" t="s">
        <v>55</v>
      </c>
      <c r="E70" s="9" t="str">
        <f>"243410020713"</f>
        <v>243410020713</v>
      </c>
      <c r="F70" s="10">
        <v>72.5</v>
      </c>
      <c r="G70" s="9">
        <v>69</v>
      </c>
      <c r="H70" s="9">
        <f>F70*0.4+G70*0.6</f>
        <v>70.4</v>
      </c>
      <c r="I70" s="9"/>
      <c r="J70" s="9">
        <f>H70+I70</f>
        <v>70.4</v>
      </c>
      <c r="K70" s="17">
        <v>86.07</v>
      </c>
      <c r="L70" s="20">
        <f>J70/1.2*0.4+K70*0.6</f>
        <v>75.10866666666666</v>
      </c>
    </row>
    <row r="71" spans="1:12" ht="14.25">
      <c r="A71" s="8">
        <v>69</v>
      </c>
      <c r="B71" s="9" t="s">
        <v>39</v>
      </c>
      <c r="C71" s="9" t="s">
        <v>54</v>
      </c>
      <c r="D71" s="9" t="s">
        <v>55</v>
      </c>
      <c r="E71" s="9" t="str">
        <f>"243410020710"</f>
        <v>243410020710</v>
      </c>
      <c r="F71" s="10">
        <v>59.5</v>
      </c>
      <c r="G71" s="9">
        <v>86.5</v>
      </c>
      <c r="H71" s="9">
        <f>F71*0.4+G71*0.6</f>
        <v>75.7</v>
      </c>
      <c r="I71" s="9"/>
      <c r="J71" s="9">
        <f>H71+I71</f>
        <v>75.7</v>
      </c>
      <c r="K71" s="17">
        <v>78.73</v>
      </c>
      <c r="L71" s="20">
        <f>J71/1.2*0.4+K71*0.6</f>
        <v>72.47133333333333</v>
      </c>
    </row>
    <row r="72" spans="1:12" ht="14.25">
      <c r="A72" s="8">
        <v>70</v>
      </c>
      <c r="B72" s="9" t="s">
        <v>39</v>
      </c>
      <c r="C72" s="9" t="s">
        <v>54</v>
      </c>
      <c r="D72" s="9" t="s">
        <v>55</v>
      </c>
      <c r="E72" s="9" t="str">
        <f>"243410020714"</f>
        <v>243410020714</v>
      </c>
      <c r="F72" s="10">
        <v>76</v>
      </c>
      <c r="G72" s="9">
        <v>62.5</v>
      </c>
      <c r="H72" s="9">
        <f>F72*0.4+G72*0.6</f>
        <v>67.9</v>
      </c>
      <c r="I72" s="9"/>
      <c r="J72" s="9">
        <f>H72+I72</f>
        <v>67.9</v>
      </c>
      <c r="K72" s="17">
        <v>78.13</v>
      </c>
      <c r="L72" s="20">
        <f>J72/1.2*0.4+K72*0.6</f>
        <v>69.51133333333334</v>
      </c>
    </row>
    <row r="73" spans="1:12" ht="14.25">
      <c r="A73" s="8">
        <v>71</v>
      </c>
      <c r="B73" s="11" t="s">
        <v>39</v>
      </c>
      <c r="C73" s="11" t="s">
        <v>56</v>
      </c>
      <c r="D73" s="11" t="s">
        <v>57</v>
      </c>
      <c r="E73" s="9" t="str">
        <f>"243410020828"</f>
        <v>243410020828</v>
      </c>
      <c r="F73" s="10">
        <v>60.5</v>
      </c>
      <c r="G73" s="9">
        <v>64.5</v>
      </c>
      <c r="H73" s="9">
        <f>F73*0.4+G73*0.6</f>
        <v>62.9</v>
      </c>
      <c r="I73" s="9"/>
      <c r="J73" s="9">
        <f>H73+I73</f>
        <v>62.9</v>
      </c>
      <c r="K73" s="17">
        <v>75.17</v>
      </c>
      <c r="L73" s="20">
        <f>J73/1.2*0.4+K73*0.6</f>
        <v>66.06866666666667</v>
      </c>
    </row>
    <row r="74" spans="1:12" ht="14.25">
      <c r="A74" s="8">
        <v>72</v>
      </c>
      <c r="B74" s="11" t="s">
        <v>39</v>
      </c>
      <c r="C74" s="11" t="s">
        <v>56</v>
      </c>
      <c r="D74" s="11" t="s">
        <v>57</v>
      </c>
      <c r="E74" s="9" t="str">
        <f>"243410020829"</f>
        <v>243410020829</v>
      </c>
      <c r="F74" s="10">
        <v>54.5</v>
      </c>
      <c r="G74" s="9">
        <v>75</v>
      </c>
      <c r="H74" s="9">
        <f>F74*0.4+G74*0.6</f>
        <v>66.8</v>
      </c>
      <c r="I74" s="9"/>
      <c r="J74" s="9">
        <f>H74+I74</f>
        <v>66.8</v>
      </c>
      <c r="K74" s="17">
        <v>78.4</v>
      </c>
      <c r="L74" s="20">
        <f>J74/1.2*0.4+K74*0.6</f>
        <v>69.30666666666667</v>
      </c>
    </row>
    <row r="75" spans="1:12" ht="14.25">
      <c r="A75" s="8">
        <v>73</v>
      </c>
      <c r="B75" s="9" t="s">
        <v>39</v>
      </c>
      <c r="C75" s="9" t="s">
        <v>56</v>
      </c>
      <c r="D75" s="9" t="s">
        <v>57</v>
      </c>
      <c r="E75" s="9" t="str">
        <f>"243410020901"</f>
        <v>243410020901</v>
      </c>
      <c r="F75" s="10">
        <v>69.5</v>
      </c>
      <c r="G75" s="9">
        <v>92.5</v>
      </c>
      <c r="H75" s="9">
        <f>F75*0.4+G75*0.6</f>
        <v>83.3</v>
      </c>
      <c r="I75" s="9"/>
      <c r="J75" s="9">
        <f>H75+I75</f>
        <v>83.3</v>
      </c>
      <c r="K75" s="17">
        <v>82.37</v>
      </c>
      <c r="L75" s="20">
        <f>J75/1.2*0.4+K75*0.6</f>
        <v>77.18866666666668</v>
      </c>
    </row>
    <row r="76" spans="1:12" ht="14.25">
      <c r="A76" s="8">
        <v>74</v>
      </c>
      <c r="B76" s="11" t="s">
        <v>39</v>
      </c>
      <c r="C76" s="11" t="s">
        <v>58</v>
      </c>
      <c r="D76" s="11" t="s">
        <v>59</v>
      </c>
      <c r="E76" s="9" t="str">
        <f>"243410020614"</f>
        <v>243410020614</v>
      </c>
      <c r="F76" s="10">
        <v>64</v>
      </c>
      <c r="G76" s="9">
        <v>60.5</v>
      </c>
      <c r="H76" s="9">
        <f>F76*0.4+G76*0.6</f>
        <v>61.9</v>
      </c>
      <c r="I76" s="9"/>
      <c r="J76" s="9">
        <f>H76+I76</f>
        <v>61.9</v>
      </c>
      <c r="K76" s="17">
        <v>65.7</v>
      </c>
      <c r="L76" s="20">
        <f>J76/1.2*0.4+K76*0.6</f>
        <v>60.05333333333334</v>
      </c>
    </row>
    <row r="77" spans="1:12" ht="14.25">
      <c r="A77" s="8">
        <v>75</v>
      </c>
      <c r="B77" s="9" t="s">
        <v>39</v>
      </c>
      <c r="C77" s="9" t="s">
        <v>58</v>
      </c>
      <c r="D77" s="9" t="s">
        <v>59</v>
      </c>
      <c r="E77" s="9" t="str">
        <f>"243410020615"</f>
        <v>243410020615</v>
      </c>
      <c r="F77" s="10">
        <v>72.5</v>
      </c>
      <c r="G77" s="9">
        <v>66</v>
      </c>
      <c r="H77" s="9">
        <f>F77*0.4+G77*0.6</f>
        <v>68.6</v>
      </c>
      <c r="I77" s="9"/>
      <c r="J77" s="9">
        <f>H77+I77</f>
        <v>68.6</v>
      </c>
      <c r="K77" s="17">
        <v>82.83</v>
      </c>
      <c r="L77" s="20">
        <f>J77/1.2*0.4+K77*0.6</f>
        <v>72.56466666666667</v>
      </c>
    </row>
    <row r="78" spans="1:12" ht="14.25">
      <c r="A78" s="8">
        <v>76</v>
      </c>
      <c r="B78" s="9" t="s">
        <v>39</v>
      </c>
      <c r="C78" s="9" t="s">
        <v>58</v>
      </c>
      <c r="D78" s="9" t="s">
        <v>59</v>
      </c>
      <c r="E78" s="9" t="str">
        <f>"243410020612"</f>
        <v>243410020612</v>
      </c>
      <c r="F78" s="10">
        <v>78</v>
      </c>
      <c r="G78" s="9">
        <v>79.5</v>
      </c>
      <c r="H78" s="9">
        <f>F78*0.4+G78*0.6</f>
        <v>78.9</v>
      </c>
      <c r="I78" s="9"/>
      <c r="J78" s="9">
        <f>H78+I78</f>
        <v>78.9</v>
      </c>
      <c r="K78" s="17">
        <v>80.53</v>
      </c>
      <c r="L78" s="20">
        <f>J78/1.2*0.4+K78*0.6</f>
        <v>74.61800000000001</v>
      </c>
    </row>
    <row r="79" spans="1:12" ht="14.25">
      <c r="A79" s="8">
        <v>77</v>
      </c>
      <c r="B79" s="9" t="s">
        <v>60</v>
      </c>
      <c r="C79" s="9" t="s">
        <v>61</v>
      </c>
      <c r="D79" s="9" t="s">
        <v>59</v>
      </c>
      <c r="E79" s="9" t="str">
        <f>"243410020623"</f>
        <v>243410020623</v>
      </c>
      <c r="F79" s="10">
        <v>71.5</v>
      </c>
      <c r="G79" s="9">
        <v>80.5</v>
      </c>
      <c r="H79" s="9">
        <f>F79*0.4+G79*0.6</f>
        <v>76.9</v>
      </c>
      <c r="I79" s="9"/>
      <c r="J79" s="9">
        <f>H79+I79</f>
        <v>76.9</v>
      </c>
      <c r="K79" s="17">
        <v>79.87</v>
      </c>
      <c r="L79" s="20">
        <f>J79/1.2*0.4+K79*0.6</f>
        <v>73.55533333333335</v>
      </c>
    </row>
    <row r="80" spans="1:12" ht="14.25">
      <c r="A80" s="8">
        <v>78</v>
      </c>
      <c r="B80" s="9" t="s">
        <v>60</v>
      </c>
      <c r="C80" s="9" t="s">
        <v>61</v>
      </c>
      <c r="D80" s="9" t="s">
        <v>59</v>
      </c>
      <c r="E80" s="9" t="str">
        <f>"243410020617"</f>
        <v>243410020617</v>
      </c>
      <c r="F80" s="10">
        <v>67.5</v>
      </c>
      <c r="G80" s="9">
        <v>70</v>
      </c>
      <c r="H80" s="9">
        <f>F80*0.4+G80*0.6</f>
        <v>69</v>
      </c>
      <c r="I80" s="9"/>
      <c r="J80" s="9">
        <f>H80+I80</f>
        <v>69</v>
      </c>
      <c r="K80" s="17">
        <v>80.03</v>
      </c>
      <c r="L80" s="20">
        <f>J80/1.2*0.4+K80*0.6</f>
        <v>71.018</v>
      </c>
    </row>
    <row r="81" spans="1:12" ht="14.25">
      <c r="A81" s="8">
        <v>79</v>
      </c>
      <c r="B81" s="9" t="s">
        <v>60</v>
      </c>
      <c r="C81" s="9" t="s">
        <v>61</v>
      </c>
      <c r="D81" s="9" t="s">
        <v>59</v>
      </c>
      <c r="E81" s="9" t="str">
        <f>"243410020622"</f>
        <v>243410020622</v>
      </c>
      <c r="F81" s="10">
        <v>68</v>
      </c>
      <c r="G81" s="9">
        <v>71.5</v>
      </c>
      <c r="H81" s="9">
        <f>F81*0.4+G81*0.6</f>
        <v>70.1</v>
      </c>
      <c r="I81" s="9"/>
      <c r="J81" s="9">
        <f>H81+I81</f>
        <v>70.1</v>
      </c>
      <c r="K81" s="17">
        <v>78.03</v>
      </c>
      <c r="L81" s="20">
        <f>J81/1.2*0.4+K81*0.6</f>
        <v>70.18466666666666</v>
      </c>
    </row>
    <row r="82" spans="1:12" ht="14.25">
      <c r="A82" s="8">
        <v>80</v>
      </c>
      <c r="B82" s="9" t="s">
        <v>60</v>
      </c>
      <c r="C82" s="9" t="s">
        <v>62</v>
      </c>
      <c r="D82" s="9" t="s">
        <v>44</v>
      </c>
      <c r="E82" s="9" t="str">
        <f>"243410022217"</f>
        <v>243410022217</v>
      </c>
      <c r="F82" s="10">
        <v>77.5</v>
      </c>
      <c r="G82" s="9">
        <v>92</v>
      </c>
      <c r="H82" s="9">
        <f>F82*0.4+G82*0.6</f>
        <v>86.19999999999999</v>
      </c>
      <c r="I82" s="9"/>
      <c r="J82" s="9">
        <f>H82+I82</f>
        <v>86.19999999999999</v>
      </c>
      <c r="K82" s="17">
        <v>74.53</v>
      </c>
      <c r="L82" s="20">
        <f>J82/1.2*0.4+K82*0.6</f>
        <v>73.45133333333334</v>
      </c>
    </row>
    <row r="83" spans="1:12" ht="14.25">
      <c r="A83" s="8">
        <v>81</v>
      </c>
      <c r="B83" s="9" t="s">
        <v>60</v>
      </c>
      <c r="C83" s="9" t="s">
        <v>62</v>
      </c>
      <c r="D83" s="9" t="s">
        <v>44</v>
      </c>
      <c r="E83" s="9" t="str">
        <f>"243410022215"</f>
        <v>243410022215</v>
      </c>
      <c r="F83" s="10">
        <v>68.5</v>
      </c>
      <c r="G83" s="9">
        <v>84</v>
      </c>
      <c r="H83" s="9">
        <f>F83*0.4+G83*0.6</f>
        <v>77.8</v>
      </c>
      <c r="I83" s="9"/>
      <c r="J83" s="9">
        <f>H83+I83</f>
        <v>77.8</v>
      </c>
      <c r="K83" s="17">
        <v>80.3</v>
      </c>
      <c r="L83" s="20">
        <f>J83/1.2*0.4+K83*0.6</f>
        <v>74.11333333333333</v>
      </c>
    </row>
    <row r="84" spans="1:12" ht="14.25">
      <c r="A84" s="8">
        <v>82</v>
      </c>
      <c r="B84" s="11" t="s">
        <v>60</v>
      </c>
      <c r="C84" s="11" t="s">
        <v>62</v>
      </c>
      <c r="D84" s="11" t="s">
        <v>44</v>
      </c>
      <c r="E84" s="9" t="str">
        <f>"243410022218"</f>
        <v>243410022218</v>
      </c>
      <c r="F84" s="10">
        <v>68</v>
      </c>
      <c r="G84" s="9">
        <v>68</v>
      </c>
      <c r="H84" s="9">
        <f>F84*0.4+G84*0.6</f>
        <v>68</v>
      </c>
      <c r="I84" s="9"/>
      <c r="J84" s="9">
        <f>H84+I84</f>
        <v>68</v>
      </c>
      <c r="K84" s="17">
        <v>79.4</v>
      </c>
      <c r="L84" s="20">
        <f>J84/1.2*0.4+K84*0.6</f>
        <v>70.30666666666667</v>
      </c>
    </row>
    <row r="85" spans="1:12" ht="14.25">
      <c r="A85" s="8">
        <v>83</v>
      </c>
      <c r="B85" s="9" t="s">
        <v>60</v>
      </c>
      <c r="C85" s="9" t="s">
        <v>63</v>
      </c>
      <c r="D85" s="9" t="s">
        <v>36</v>
      </c>
      <c r="E85" s="9" t="str">
        <f>"243410020228"</f>
        <v>243410020228</v>
      </c>
      <c r="F85" s="10">
        <v>77</v>
      </c>
      <c r="G85" s="9">
        <v>108.5</v>
      </c>
      <c r="H85" s="9">
        <f>F85*0.4+G85*0.6</f>
        <v>95.89999999999999</v>
      </c>
      <c r="I85" s="9"/>
      <c r="J85" s="9">
        <f>H85+I85</f>
        <v>95.89999999999999</v>
      </c>
      <c r="K85" s="17">
        <v>87.17</v>
      </c>
      <c r="L85" s="20">
        <f>J85/1.2*0.4+K85*0.6</f>
        <v>84.26866666666666</v>
      </c>
    </row>
    <row r="86" spans="1:12" ht="14.25">
      <c r="A86" s="8">
        <v>84</v>
      </c>
      <c r="B86" s="9" t="s">
        <v>60</v>
      </c>
      <c r="C86" s="9" t="s">
        <v>63</v>
      </c>
      <c r="D86" s="9" t="s">
        <v>36</v>
      </c>
      <c r="E86" s="9" t="str">
        <f>"243410020226"</f>
        <v>243410020226</v>
      </c>
      <c r="F86" s="10">
        <v>78.5</v>
      </c>
      <c r="G86" s="9">
        <v>96.5</v>
      </c>
      <c r="H86" s="9">
        <f>F86*0.4+G86*0.6</f>
        <v>89.3</v>
      </c>
      <c r="I86" s="9"/>
      <c r="J86" s="9">
        <f>H86+I86</f>
        <v>89.3</v>
      </c>
      <c r="K86" s="17">
        <v>80.17</v>
      </c>
      <c r="L86" s="20">
        <f>J86/1.2*0.4+K86*0.6</f>
        <v>77.86866666666667</v>
      </c>
    </row>
    <row r="87" spans="1:12" ht="14.25">
      <c r="A87" s="8">
        <v>85</v>
      </c>
      <c r="B87" s="9" t="s">
        <v>60</v>
      </c>
      <c r="C87" s="9" t="s">
        <v>64</v>
      </c>
      <c r="D87" s="9" t="s">
        <v>65</v>
      </c>
      <c r="E87" s="9" t="str">
        <f>"243410020407"</f>
        <v>243410020407</v>
      </c>
      <c r="F87" s="10">
        <v>91.5</v>
      </c>
      <c r="G87" s="9">
        <v>92.5</v>
      </c>
      <c r="H87" s="9">
        <f>F87*0.4+G87*0.6</f>
        <v>92.1</v>
      </c>
      <c r="I87" s="9"/>
      <c r="J87" s="9">
        <f>H87+I87</f>
        <v>92.1</v>
      </c>
      <c r="K87" s="21">
        <v>76.17</v>
      </c>
      <c r="L87" s="20">
        <f>J87/1.2*0.4+K87*0.6</f>
        <v>76.402</v>
      </c>
    </row>
    <row r="88" spans="1:12" ht="14.25">
      <c r="A88" s="8">
        <v>86</v>
      </c>
      <c r="B88" s="9" t="s">
        <v>60</v>
      </c>
      <c r="C88" s="9" t="s">
        <v>64</v>
      </c>
      <c r="D88" s="9" t="s">
        <v>65</v>
      </c>
      <c r="E88" s="9" t="str">
        <f>"243410020402"</f>
        <v>243410020402</v>
      </c>
      <c r="F88" s="10">
        <v>94</v>
      </c>
      <c r="G88" s="9">
        <v>94.5</v>
      </c>
      <c r="H88" s="9">
        <f>F88*0.4+G88*0.6</f>
        <v>94.3</v>
      </c>
      <c r="I88" s="9"/>
      <c r="J88" s="9">
        <f>H88+I88</f>
        <v>94.3</v>
      </c>
      <c r="K88" s="21">
        <v>75.5</v>
      </c>
      <c r="L88" s="20">
        <f>J88/1.2*0.4+K88*0.6</f>
        <v>76.73333333333333</v>
      </c>
    </row>
    <row r="89" spans="1:12" ht="14.25">
      <c r="A89" s="8">
        <v>87</v>
      </c>
      <c r="B89" s="9" t="s">
        <v>60</v>
      </c>
      <c r="C89" s="9" t="s">
        <v>64</v>
      </c>
      <c r="D89" s="9" t="s">
        <v>65</v>
      </c>
      <c r="E89" s="9" t="str">
        <f>"243410020414"</f>
        <v>243410020414</v>
      </c>
      <c r="F89" s="10">
        <v>92.5</v>
      </c>
      <c r="G89" s="9">
        <v>87</v>
      </c>
      <c r="H89" s="9">
        <f>F89*0.4+G89*0.6</f>
        <v>89.19999999999999</v>
      </c>
      <c r="I89" s="9"/>
      <c r="J89" s="9">
        <f>H89+I89</f>
        <v>89.19999999999999</v>
      </c>
      <c r="K89" s="21">
        <v>74.43</v>
      </c>
      <c r="L89" s="20">
        <f>J89/1.2*0.4+K89*0.6</f>
        <v>74.39133333333334</v>
      </c>
    </row>
    <row r="90" spans="1:12" ht="14.25">
      <c r="A90" s="8">
        <v>88</v>
      </c>
      <c r="B90" s="9" t="s">
        <v>60</v>
      </c>
      <c r="C90" s="9" t="s">
        <v>66</v>
      </c>
      <c r="D90" s="9" t="s">
        <v>55</v>
      </c>
      <c r="E90" s="9" t="str">
        <f>"243410020722"</f>
        <v>243410020722</v>
      </c>
      <c r="F90" s="10">
        <v>65</v>
      </c>
      <c r="G90" s="9">
        <v>78.5</v>
      </c>
      <c r="H90" s="9">
        <f>F90*0.4+G90*0.6</f>
        <v>73.1</v>
      </c>
      <c r="I90" s="9"/>
      <c r="J90" s="9">
        <f>H90+I90</f>
        <v>73.1</v>
      </c>
      <c r="K90" s="17">
        <v>83</v>
      </c>
      <c r="L90" s="20">
        <f>J90/1.2*0.4+K90*0.6</f>
        <v>74.16666666666666</v>
      </c>
    </row>
    <row r="91" spans="1:12" ht="14.25">
      <c r="A91" s="8">
        <v>89</v>
      </c>
      <c r="B91" s="9" t="s">
        <v>60</v>
      </c>
      <c r="C91" s="9" t="s">
        <v>66</v>
      </c>
      <c r="D91" s="9" t="s">
        <v>55</v>
      </c>
      <c r="E91" s="9" t="str">
        <f>"243410020720"</f>
        <v>243410020720</v>
      </c>
      <c r="F91" s="10">
        <v>78.5</v>
      </c>
      <c r="G91" s="9">
        <v>81</v>
      </c>
      <c r="H91" s="9">
        <f>F91*0.4+G91*0.6</f>
        <v>80</v>
      </c>
      <c r="I91" s="9"/>
      <c r="J91" s="9">
        <f>H91+I91</f>
        <v>80</v>
      </c>
      <c r="K91" s="17">
        <v>84.23</v>
      </c>
      <c r="L91" s="20">
        <f>J91/1.2*0.4+K91*0.6</f>
        <v>77.20466666666667</v>
      </c>
    </row>
    <row r="92" spans="1:12" ht="14.25">
      <c r="A92" s="8">
        <v>90</v>
      </c>
      <c r="B92" s="9" t="s">
        <v>60</v>
      </c>
      <c r="C92" s="9" t="s">
        <v>66</v>
      </c>
      <c r="D92" s="9" t="s">
        <v>55</v>
      </c>
      <c r="E92" s="9" t="str">
        <f>"243410020723"</f>
        <v>243410020723</v>
      </c>
      <c r="F92" s="10">
        <v>78</v>
      </c>
      <c r="G92" s="9">
        <v>79.5</v>
      </c>
      <c r="H92" s="9">
        <f>F92*0.4+G92*0.6</f>
        <v>78.9</v>
      </c>
      <c r="I92" s="9"/>
      <c r="J92" s="9">
        <f>H92+I92</f>
        <v>78.9</v>
      </c>
      <c r="K92" s="17">
        <v>74.17</v>
      </c>
      <c r="L92" s="20">
        <f>J92/1.2*0.4+K92*0.6</f>
        <v>70.802</v>
      </c>
    </row>
    <row r="93" spans="1:12" ht="14.25">
      <c r="A93" s="8">
        <v>91</v>
      </c>
      <c r="B93" s="14" t="s">
        <v>60</v>
      </c>
      <c r="C93" s="14" t="s">
        <v>67</v>
      </c>
      <c r="D93" s="9" t="s">
        <v>68</v>
      </c>
      <c r="E93" s="9" t="str">
        <f>"243410022620"</f>
        <v>243410022620</v>
      </c>
      <c r="F93" s="10">
        <v>74.5</v>
      </c>
      <c r="G93" s="9">
        <v>77</v>
      </c>
      <c r="H93" s="9">
        <f>F93*0.4+G93*0.6</f>
        <v>76</v>
      </c>
      <c r="I93" s="9"/>
      <c r="J93" s="9">
        <f>H93+I93</f>
        <v>76</v>
      </c>
      <c r="K93" s="21">
        <v>78.4</v>
      </c>
      <c r="L93" s="20">
        <f>J93/1.2*0.4+K93*0.6</f>
        <v>72.37333333333333</v>
      </c>
    </row>
    <row r="94" spans="1:12" ht="14.25">
      <c r="A94" s="8">
        <v>92</v>
      </c>
      <c r="B94" s="9" t="s">
        <v>60</v>
      </c>
      <c r="C94" s="9" t="s">
        <v>67</v>
      </c>
      <c r="D94" s="9" t="s">
        <v>68</v>
      </c>
      <c r="E94" s="9" t="str">
        <f>"243410022625"</f>
        <v>243410022625</v>
      </c>
      <c r="F94" s="10">
        <v>73</v>
      </c>
      <c r="G94" s="9">
        <v>73.5</v>
      </c>
      <c r="H94" s="9">
        <f>F94*0.4+G94*0.6</f>
        <v>73.30000000000001</v>
      </c>
      <c r="I94" s="9"/>
      <c r="J94" s="9">
        <f>H94+I94</f>
        <v>73.30000000000001</v>
      </c>
      <c r="K94" s="21">
        <v>79</v>
      </c>
      <c r="L94" s="20">
        <f>J94/1.2*0.4+K94*0.6</f>
        <v>71.83333333333334</v>
      </c>
    </row>
    <row r="95" spans="1:12" ht="14.25">
      <c r="A95" s="8">
        <v>93</v>
      </c>
      <c r="B95" s="9" t="s">
        <v>60</v>
      </c>
      <c r="C95" s="9" t="s">
        <v>67</v>
      </c>
      <c r="D95" s="9" t="s">
        <v>68</v>
      </c>
      <c r="E95" s="9" t="str">
        <f>"243410022615"</f>
        <v>243410022615</v>
      </c>
      <c r="F95" s="10">
        <v>73.5</v>
      </c>
      <c r="G95" s="9">
        <v>74.5</v>
      </c>
      <c r="H95" s="9">
        <f>F95*0.4+G95*0.6</f>
        <v>74.1</v>
      </c>
      <c r="I95" s="9"/>
      <c r="J95" s="9">
        <f>H95+I95</f>
        <v>74.1</v>
      </c>
      <c r="K95" s="21">
        <v>74.17</v>
      </c>
      <c r="L95" s="20">
        <f>J95/1.2*0.4+K95*0.6</f>
        <v>69.202</v>
      </c>
    </row>
    <row r="96" spans="1:12" ht="14.25">
      <c r="A96" s="8">
        <v>94</v>
      </c>
      <c r="B96" s="9" t="s">
        <v>69</v>
      </c>
      <c r="C96" s="9" t="s">
        <v>70</v>
      </c>
      <c r="D96" s="9" t="s">
        <v>34</v>
      </c>
      <c r="E96" s="9" t="str">
        <f>"243410021501"</f>
        <v>243410021501</v>
      </c>
      <c r="F96" s="10">
        <v>80</v>
      </c>
      <c r="G96" s="9">
        <v>84</v>
      </c>
      <c r="H96" s="9">
        <f>F96*0.4+G96*0.6</f>
        <v>82.4</v>
      </c>
      <c r="I96" s="9"/>
      <c r="J96" s="9">
        <f>H96+I96</f>
        <v>82.4</v>
      </c>
      <c r="K96" s="17">
        <v>80.67</v>
      </c>
      <c r="L96" s="20">
        <f>J96/1.2*0.4+K96*0.6</f>
        <v>75.86866666666667</v>
      </c>
    </row>
    <row r="97" spans="1:12" ht="14.25">
      <c r="A97" s="8">
        <v>95</v>
      </c>
      <c r="B97" s="9" t="s">
        <v>69</v>
      </c>
      <c r="C97" s="9" t="s">
        <v>70</v>
      </c>
      <c r="D97" s="9" t="s">
        <v>34</v>
      </c>
      <c r="E97" s="9" t="str">
        <f>"243410021503"</f>
        <v>243410021503</v>
      </c>
      <c r="F97" s="10">
        <v>75</v>
      </c>
      <c r="G97" s="9">
        <v>78.5</v>
      </c>
      <c r="H97" s="9">
        <f>F97*0.4+G97*0.6</f>
        <v>77.1</v>
      </c>
      <c r="I97" s="9"/>
      <c r="J97" s="9">
        <f>H97+I97</f>
        <v>77.1</v>
      </c>
      <c r="K97" s="17">
        <v>81.8</v>
      </c>
      <c r="L97" s="20">
        <f>J97/1.2*0.4+K97*0.6</f>
        <v>74.78</v>
      </c>
    </row>
    <row r="98" spans="1:12" ht="14.25">
      <c r="A98" s="8">
        <v>96</v>
      </c>
      <c r="B98" s="11" t="s">
        <v>69</v>
      </c>
      <c r="C98" s="11" t="s">
        <v>70</v>
      </c>
      <c r="D98" s="11" t="s">
        <v>34</v>
      </c>
      <c r="E98" s="9" t="str">
        <f>"243410021502"</f>
        <v>243410021502</v>
      </c>
      <c r="F98" s="10">
        <v>83.5</v>
      </c>
      <c r="G98" s="9">
        <v>71.5</v>
      </c>
      <c r="H98" s="9">
        <f>F98*0.4+G98*0.6</f>
        <v>76.3</v>
      </c>
      <c r="I98" s="9"/>
      <c r="J98" s="9">
        <f>H98+I98</f>
        <v>76.3</v>
      </c>
      <c r="K98" s="17">
        <v>64.77</v>
      </c>
      <c r="L98" s="20">
        <f>J98/1.2*0.4+K98*0.6</f>
        <v>64.29533333333333</v>
      </c>
    </row>
    <row r="99" spans="1:12" ht="14.25">
      <c r="A99" s="8">
        <v>97</v>
      </c>
      <c r="B99" s="9" t="s">
        <v>69</v>
      </c>
      <c r="C99" s="9" t="s">
        <v>71</v>
      </c>
      <c r="D99" s="9" t="s">
        <v>44</v>
      </c>
      <c r="E99" s="9" t="str">
        <f>"243410022301"</f>
        <v>243410022301</v>
      </c>
      <c r="F99" s="10">
        <v>78</v>
      </c>
      <c r="G99" s="9">
        <v>81.5</v>
      </c>
      <c r="H99" s="9">
        <f>F99*0.4+G99*0.6</f>
        <v>80.1</v>
      </c>
      <c r="I99" s="9"/>
      <c r="J99" s="9">
        <f>H99+I99</f>
        <v>80.1</v>
      </c>
      <c r="K99" s="17">
        <v>61.87</v>
      </c>
      <c r="L99" s="20">
        <f>J99/1.2*0.4+K99*0.6</f>
        <v>63.822</v>
      </c>
    </row>
    <row r="100" spans="1:12" ht="14.25">
      <c r="A100" s="8">
        <v>98</v>
      </c>
      <c r="B100" s="11" t="s">
        <v>69</v>
      </c>
      <c r="C100" s="11" t="s">
        <v>71</v>
      </c>
      <c r="D100" s="11" t="s">
        <v>44</v>
      </c>
      <c r="E100" s="9" t="str">
        <f>"243410022223"</f>
        <v>243410022223</v>
      </c>
      <c r="F100" s="10">
        <v>71</v>
      </c>
      <c r="G100" s="9">
        <v>79.5</v>
      </c>
      <c r="H100" s="9">
        <f>F100*0.4+G100*0.6</f>
        <v>76.1</v>
      </c>
      <c r="I100" s="9"/>
      <c r="J100" s="9">
        <f>H100+I100</f>
        <v>76.1</v>
      </c>
      <c r="K100" s="17">
        <v>72.43</v>
      </c>
      <c r="L100" s="20">
        <f>J100/1.2*0.4+K100*0.6</f>
        <v>68.82466666666667</v>
      </c>
    </row>
    <row r="101" spans="1:12" ht="14.25">
      <c r="A101" s="8">
        <v>99</v>
      </c>
      <c r="B101" s="9" t="s">
        <v>69</v>
      </c>
      <c r="C101" s="9" t="s">
        <v>71</v>
      </c>
      <c r="D101" s="9" t="s">
        <v>44</v>
      </c>
      <c r="E101" s="9" t="str">
        <f>"243410022225"</f>
        <v>243410022225</v>
      </c>
      <c r="F101" s="10">
        <v>73</v>
      </c>
      <c r="G101" s="9">
        <v>82.5</v>
      </c>
      <c r="H101" s="9">
        <f>F101*0.4+G101*0.6</f>
        <v>78.7</v>
      </c>
      <c r="I101" s="9"/>
      <c r="J101" s="9">
        <f>H101+I101</f>
        <v>78.7</v>
      </c>
      <c r="K101" s="17">
        <v>65.83</v>
      </c>
      <c r="L101" s="20">
        <f>J101/1.2*0.4+K101*0.6</f>
        <v>65.73133333333334</v>
      </c>
    </row>
    <row r="102" spans="1:12" ht="14.25">
      <c r="A102" s="8">
        <v>100</v>
      </c>
      <c r="B102" s="9" t="s">
        <v>69</v>
      </c>
      <c r="C102" s="9" t="s">
        <v>72</v>
      </c>
      <c r="D102" s="9" t="s">
        <v>49</v>
      </c>
      <c r="E102" s="9" t="str">
        <f>"243410014025"</f>
        <v>243410014025</v>
      </c>
      <c r="F102" s="10">
        <v>81.5</v>
      </c>
      <c r="G102" s="9">
        <v>91.5</v>
      </c>
      <c r="H102" s="9">
        <f>F102*0.4+G102*0.6</f>
        <v>87.5</v>
      </c>
      <c r="I102" s="9"/>
      <c r="J102" s="9">
        <f>H102+I102</f>
        <v>87.5</v>
      </c>
      <c r="K102" s="17">
        <v>77.17</v>
      </c>
      <c r="L102" s="22">
        <f>J102/1.2*0.4+K102*0.6</f>
        <v>75.46866666666668</v>
      </c>
    </row>
    <row r="103" spans="1:12" ht="14.25">
      <c r="A103" s="8">
        <v>101</v>
      </c>
      <c r="B103" s="9" t="s">
        <v>69</v>
      </c>
      <c r="C103" s="9" t="s">
        <v>72</v>
      </c>
      <c r="D103" s="9" t="s">
        <v>49</v>
      </c>
      <c r="E103" s="9" t="str">
        <f>"243410014106"</f>
        <v>243410014106</v>
      </c>
      <c r="F103" s="10">
        <v>80.5</v>
      </c>
      <c r="G103" s="9">
        <v>79</v>
      </c>
      <c r="H103" s="9">
        <f>F103*0.4+G103*0.6</f>
        <v>79.6</v>
      </c>
      <c r="I103" s="9"/>
      <c r="J103" s="9">
        <f>H103+I103</f>
        <v>79.6</v>
      </c>
      <c r="K103" s="17">
        <v>79.2</v>
      </c>
      <c r="L103" s="20">
        <f>J103/1.2*0.4+K103*0.6</f>
        <v>74.05333333333334</v>
      </c>
    </row>
    <row r="104" spans="1:12" ht="14.25">
      <c r="A104" s="8">
        <v>102</v>
      </c>
      <c r="B104" s="11" t="s">
        <v>69</v>
      </c>
      <c r="C104" s="11" t="s">
        <v>72</v>
      </c>
      <c r="D104" s="11" t="s">
        <v>49</v>
      </c>
      <c r="E104" s="9" t="str">
        <f>"243410014112"</f>
        <v>243410014112</v>
      </c>
      <c r="F104" s="10">
        <v>68.5</v>
      </c>
      <c r="G104" s="9">
        <v>86.5</v>
      </c>
      <c r="H104" s="9">
        <f>F104*0.4+G104*0.6</f>
        <v>79.3</v>
      </c>
      <c r="I104" s="9"/>
      <c r="J104" s="9">
        <f>H104+I104</f>
        <v>79.3</v>
      </c>
      <c r="K104" s="17">
        <v>78.07</v>
      </c>
      <c r="L104" s="20">
        <f>J104/1.2*0.4+K104*0.6</f>
        <v>73.27533333333332</v>
      </c>
    </row>
    <row r="105" spans="1:12" ht="14.25">
      <c r="A105" s="8">
        <v>103</v>
      </c>
      <c r="B105" s="9" t="s">
        <v>69</v>
      </c>
      <c r="C105" s="9" t="s">
        <v>73</v>
      </c>
      <c r="D105" s="9" t="s">
        <v>55</v>
      </c>
      <c r="E105" s="9" t="str">
        <f>"243410020729"</f>
        <v>243410020729</v>
      </c>
      <c r="F105" s="10">
        <v>69.5</v>
      </c>
      <c r="G105" s="9">
        <v>66.5</v>
      </c>
      <c r="H105" s="9">
        <f>F105*0.4+G105*0.6</f>
        <v>67.7</v>
      </c>
      <c r="I105" s="9"/>
      <c r="J105" s="9">
        <f>H105+I105</f>
        <v>67.7</v>
      </c>
      <c r="K105" s="17">
        <v>74.83</v>
      </c>
      <c r="L105" s="20">
        <f>J105/1.2*0.4+K105*0.6</f>
        <v>67.46466666666666</v>
      </c>
    </row>
    <row r="106" spans="1:12" ht="14.25">
      <c r="A106" s="8">
        <v>104</v>
      </c>
      <c r="B106" s="9" t="s">
        <v>69</v>
      </c>
      <c r="C106" s="9" t="s">
        <v>73</v>
      </c>
      <c r="D106" s="9" t="s">
        <v>55</v>
      </c>
      <c r="E106" s="9" t="str">
        <f>"243410020727"</f>
        <v>243410020727</v>
      </c>
      <c r="F106" s="10">
        <v>79.5</v>
      </c>
      <c r="G106" s="9">
        <v>67</v>
      </c>
      <c r="H106" s="9">
        <f>F106*0.4+G106*0.6</f>
        <v>72</v>
      </c>
      <c r="I106" s="9"/>
      <c r="J106" s="9">
        <f>H106+I106</f>
        <v>72</v>
      </c>
      <c r="K106" s="17">
        <v>82.63</v>
      </c>
      <c r="L106" s="20">
        <f>J106/1.2*0.4+K106*0.6</f>
        <v>73.578</v>
      </c>
    </row>
    <row r="107" spans="1:12" ht="14.25">
      <c r="A107" s="8">
        <v>105</v>
      </c>
      <c r="B107" s="9" t="s">
        <v>69</v>
      </c>
      <c r="C107" s="9" t="s">
        <v>73</v>
      </c>
      <c r="D107" s="9" t="s">
        <v>55</v>
      </c>
      <c r="E107" s="9" t="str">
        <f>"243410020802"</f>
        <v>243410020802</v>
      </c>
      <c r="F107" s="10">
        <v>68</v>
      </c>
      <c r="G107" s="9">
        <v>66.5</v>
      </c>
      <c r="H107" s="9">
        <f>F107*0.4+G107*0.6</f>
        <v>67.1</v>
      </c>
      <c r="I107" s="9"/>
      <c r="J107" s="9">
        <f>H107+I107</f>
        <v>67.1</v>
      </c>
      <c r="K107" s="17">
        <v>75.93</v>
      </c>
      <c r="L107" s="20">
        <f>J107/1.2*0.4+K107*0.6</f>
        <v>67.92466666666667</v>
      </c>
    </row>
    <row r="108" spans="1:12" ht="14.25">
      <c r="A108" s="8">
        <v>106</v>
      </c>
      <c r="B108" s="9" t="s">
        <v>69</v>
      </c>
      <c r="C108" s="9" t="s">
        <v>74</v>
      </c>
      <c r="D108" s="9" t="s">
        <v>51</v>
      </c>
      <c r="E108" s="9" t="str">
        <f>"243410020203"</f>
        <v>243410020203</v>
      </c>
      <c r="F108" s="10">
        <v>68</v>
      </c>
      <c r="G108" s="9">
        <v>66.5</v>
      </c>
      <c r="H108" s="9">
        <f>F108*0.4+G108*0.6</f>
        <v>67.1</v>
      </c>
      <c r="I108" s="9"/>
      <c r="J108" s="9">
        <f>H108+I108</f>
        <v>67.1</v>
      </c>
      <c r="K108" s="17">
        <v>76.57</v>
      </c>
      <c r="L108" s="20">
        <f>J108/1.2*0.4+K108*0.6</f>
        <v>68.30866666666665</v>
      </c>
    </row>
    <row r="109" spans="1:12" ht="14.25">
      <c r="A109" s="8">
        <v>107</v>
      </c>
      <c r="B109" s="9" t="s">
        <v>69</v>
      </c>
      <c r="C109" s="9" t="s">
        <v>74</v>
      </c>
      <c r="D109" s="9" t="s">
        <v>51</v>
      </c>
      <c r="E109" s="9" t="str">
        <f>"243410020208"</f>
        <v>243410020208</v>
      </c>
      <c r="F109" s="10">
        <v>59.5</v>
      </c>
      <c r="G109" s="9">
        <v>73.5</v>
      </c>
      <c r="H109" s="9">
        <f>F109*0.4+G109*0.6</f>
        <v>67.9</v>
      </c>
      <c r="I109" s="9"/>
      <c r="J109" s="9">
        <f>H109+I109</f>
        <v>67.9</v>
      </c>
      <c r="K109" s="17">
        <v>75.07</v>
      </c>
      <c r="L109" s="20">
        <f>J109/1.2*0.4+K109*0.6</f>
        <v>67.67533333333333</v>
      </c>
    </row>
    <row r="110" spans="1:12" ht="14.25">
      <c r="A110" s="8">
        <v>108</v>
      </c>
      <c r="B110" s="9" t="s">
        <v>69</v>
      </c>
      <c r="C110" s="9" t="s">
        <v>74</v>
      </c>
      <c r="D110" s="9" t="s">
        <v>51</v>
      </c>
      <c r="E110" s="9" t="str">
        <f>"243410020210"</f>
        <v>243410020210</v>
      </c>
      <c r="F110" s="10">
        <v>61</v>
      </c>
      <c r="G110" s="9">
        <v>80</v>
      </c>
      <c r="H110" s="9">
        <f>F110*0.4+G110*0.6</f>
        <v>72.4</v>
      </c>
      <c r="I110" s="9"/>
      <c r="J110" s="9">
        <f>H110+I110</f>
        <v>72.4</v>
      </c>
      <c r="K110" s="17">
        <v>72.5</v>
      </c>
      <c r="L110" s="20">
        <f>J110/1.2*0.4+K110*0.6</f>
        <v>67.63333333333334</v>
      </c>
    </row>
    <row r="111" spans="1:12" ht="14.25">
      <c r="A111" s="8">
        <v>109</v>
      </c>
      <c r="B111" s="9" t="s">
        <v>69</v>
      </c>
      <c r="C111" s="9" t="s">
        <v>75</v>
      </c>
      <c r="D111" s="9" t="s">
        <v>41</v>
      </c>
      <c r="E111" s="9" t="str">
        <f>"243410020507"</f>
        <v>243410020507</v>
      </c>
      <c r="F111" s="10">
        <v>60.5</v>
      </c>
      <c r="G111" s="9">
        <v>74.5</v>
      </c>
      <c r="H111" s="9">
        <f>F111*0.4+G111*0.6</f>
        <v>68.9</v>
      </c>
      <c r="I111" s="9"/>
      <c r="J111" s="9">
        <f>H111+I111</f>
        <v>68.9</v>
      </c>
      <c r="K111" s="17">
        <v>82.53</v>
      </c>
      <c r="L111" s="20">
        <f>J111/1.2*0.4+K111*0.6</f>
        <v>72.48466666666667</v>
      </c>
    </row>
    <row r="112" spans="1:12" ht="14.25">
      <c r="A112" s="8">
        <v>110</v>
      </c>
      <c r="B112" s="9" t="s">
        <v>69</v>
      </c>
      <c r="C112" s="9" t="s">
        <v>75</v>
      </c>
      <c r="D112" s="9" t="s">
        <v>41</v>
      </c>
      <c r="E112" s="9" t="str">
        <f>"243410020506"</f>
        <v>243410020506</v>
      </c>
      <c r="F112" s="10">
        <v>65</v>
      </c>
      <c r="G112" s="9">
        <v>71.5</v>
      </c>
      <c r="H112" s="9">
        <f>F112*0.4+G112*0.6</f>
        <v>68.9</v>
      </c>
      <c r="I112" s="9"/>
      <c r="J112" s="9">
        <f>H112+I112</f>
        <v>68.9</v>
      </c>
      <c r="K112" s="17">
        <v>77.03</v>
      </c>
      <c r="L112" s="20">
        <f>J112/1.2*0.4+K112*0.6</f>
        <v>69.18466666666666</v>
      </c>
    </row>
    <row r="113" spans="1:12" ht="14.25">
      <c r="A113" s="8">
        <v>111</v>
      </c>
      <c r="B113" s="9" t="s">
        <v>69</v>
      </c>
      <c r="C113" s="9" t="s">
        <v>76</v>
      </c>
      <c r="D113" s="9" t="s">
        <v>36</v>
      </c>
      <c r="E113" s="9" t="str">
        <f>"243410020302"</f>
        <v>243410020302</v>
      </c>
      <c r="F113" s="10">
        <v>54</v>
      </c>
      <c r="G113" s="9">
        <v>88</v>
      </c>
      <c r="H113" s="9">
        <f>F113*0.4+G113*0.6</f>
        <v>74.4</v>
      </c>
      <c r="I113" s="9"/>
      <c r="J113" s="9">
        <f>H113+I113</f>
        <v>74.4</v>
      </c>
      <c r="K113" s="17">
        <v>77.83</v>
      </c>
      <c r="L113" s="20">
        <f>J113/1.2*0.4+K113*0.6</f>
        <v>71.498</v>
      </c>
    </row>
    <row r="114" spans="1:12" ht="14.25">
      <c r="A114" s="8">
        <v>112</v>
      </c>
      <c r="B114" s="9" t="s">
        <v>69</v>
      </c>
      <c r="C114" s="9" t="s">
        <v>76</v>
      </c>
      <c r="D114" s="9" t="s">
        <v>36</v>
      </c>
      <c r="E114" s="9" t="str">
        <f>"243410020305"</f>
        <v>243410020305</v>
      </c>
      <c r="F114" s="10">
        <v>62</v>
      </c>
      <c r="G114" s="9">
        <v>99</v>
      </c>
      <c r="H114" s="9">
        <f>F114*0.4+G114*0.6</f>
        <v>84.2</v>
      </c>
      <c r="I114" s="9"/>
      <c r="J114" s="9">
        <f>H114+I114</f>
        <v>84.2</v>
      </c>
      <c r="K114" s="17">
        <v>78.5</v>
      </c>
      <c r="L114" s="20">
        <f>J114/1.2*0.4+K114*0.6</f>
        <v>75.16666666666667</v>
      </c>
    </row>
    <row r="115" spans="1:12" ht="14.25">
      <c r="A115" s="8">
        <v>113</v>
      </c>
      <c r="B115" s="9" t="s">
        <v>69</v>
      </c>
      <c r="C115" s="9" t="s">
        <v>76</v>
      </c>
      <c r="D115" s="9" t="s">
        <v>36</v>
      </c>
      <c r="E115" s="9" t="str">
        <f>"243410020229"</f>
        <v>243410020229</v>
      </c>
      <c r="F115" s="10">
        <v>66</v>
      </c>
      <c r="G115" s="9">
        <v>97.5</v>
      </c>
      <c r="H115" s="9">
        <f>F115*0.4+G115*0.6</f>
        <v>84.9</v>
      </c>
      <c r="I115" s="9"/>
      <c r="J115" s="9">
        <f>H115+I115</f>
        <v>84.9</v>
      </c>
      <c r="K115" s="17">
        <v>79.83</v>
      </c>
      <c r="L115" s="20">
        <f>J115/1.2*0.4+K115*0.6</f>
        <v>76.19800000000001</v>
      </c>
    </row>
    <row r="116" spans="1:12" ht="14.25">
      <c r="A116" s="8">
        <v>114</v>
      </c>
      <c r="B116" s="9" t="s">
        <v>77</v>
      </c>
      <c r="C116" s="9" t="s">
        <v>78</v>
      </c>
      <c r="D116" s="9" t="s">
        <v>34</v>
      </c>
      <c r="E116" s="9" t="str">
        <f>"243410021520"</f>
        <v>243410021520</v>
      </c>
      <c r="F116" s="10">
        <v>86</v>
      </c>
      <c r="G116" s="9">
        <v>80</v>
      </c>
      <c r="H116" s="9">
        <f>F116*0.4+G116*0.6</f>
        <v>82.4</v>
      </c>
      <c r="I116" s="9"/>
      <c r="J116" s="9">
        <f>H116+I116</f>
        <v>82.4</v>
      </c>
      <c r="K116" s="17">
        <v>75.67</v>
      </c>
      <c r="L116" s="20">
        <f>J116/1.2*0.4+K116*0.6</f>
        <v>72.86866666666667</v>
      </c>
    </row>
    <row r="117" spans="1:12" ht="14.25">
      <c r="A117" s="8">
        <v>115</v>
      </c>
      <c r="B117" s="9" t="s">
        <v>77</v>
      </c>
      <c r="C117" s="9" t="s">
        <v>78</v>
      </c>
      <c r="D117" s="9" t="s">
        <v>34</v>
      </c>
      <c r="E117" s="9" t="str">
        <f>"243410021527"</f>
        <v>243410021527</v>
      </c>
      <c r="F117" s="10">
        <v>70</v>
      </c>
      <c r="G117" s="9">
        <v>80</v>
      </c>
      <c r="H117" s="9">
        <f>F117*0.4+G117*0.6</f>
        <v>76</v>
      </c>
      <c r="I117" s="9"/>
      <c r="J117" s="9">
        <f>H117+I117</f>
        <v>76</v>
      </c>
      <c r="K117" s="17">
        <v>83.37</v>
      </c>
      <c r="L117" s="20">
        <f>J117/1.2*0.4+K117*0.6</f>
        <v>75.35533333333333</v>
      </c>
    </row>
    <row r="118" spans="1:12" ht="14.25">
      <c r="A118" s="8">
        <v>116</v>
      </c>
      <c r="B118" s="9" t="s">
        <v>77</v>
      </c>
      <c r="C118" s="9" t="s">
        <v>78</v>
      </c>
      <c r="D118" s="9" t="s">
        <v>34</v>
      </c>
      <c r="E118" s="9" t="str">
        <f>"243410021518"</f>
        <v>243410021518</v>
      </c>
      <c r="F118" s="10">
        <v>81.5</v>
      </c>
      <c r="G118" s="9">
        <v>78.5</v>
      </c>
      <c r="H118" s="9">
        <f>F118*0.4+G118*0.6</f>
        <v>79.7</v>
      </c>
      <c r="I118" s="9"/>
      <c r="J118" s="9">
        <f>H118+I118</f>
        <v>79.7</v>
      </c>
      <c r="K118" s="17">
        <v>77.27</v>
      </c>
      <c r="L118" s="20">
        <f>J118/1.2*0.4+K118*0.6</f>
        <v>72.92866666666666</v>
      </c>
    </row>
    <row r="119" spans="1:12" ht="14.25">
      <c r="A119" s="8">
        <v>117</v>
      </c>
      <c r="B119" s="9" t="s">
        <v>77</v>
      </c>
      <c r="C119" s="9" t="s">
        <v>78</v>
      </c>
      <c r="D119" s="9" t="s">
        <v>34</v>
      </c>
      <c r="E119" s="9" t="str">
        <f>"243410021514"</f>
        <v>243410021514</v>
      </c>
      <c r="F119" s="10">
        <v>79.5</v>
      </c>
      <c r="G119" s="9">
        <v>76.5</v>
      </c>
      <c r="H119" s="9">
        <f>F119*0.4+G119*0.6</f>
        <v>77.7</v>
      </c>
      <c r="I119" s="9"/>
      <c r="J119" s="9">
        <f>H119+I119</f>
        <v>77.7</v>
      </c>
      <c r="K119" s="17">
        <v>78.33</v>
      </c>
      <c r="L119" s="20">
        <f>J119/1.2*0.4+K119*0.6</f>
        <v>72.898</v>
      </c>
    </row>
    <row r="120" spans="1:12" ht="14.25">
      <c r="A120" s="8">
        <v>118</v>
      </c>
      <c r="B120" s="11" t="s">
        <v>77</v>
      </c>
      <c r="C120" s="11" t="s">
        <v>78</v>
      </c>
      <c r="D120" s="11" t="s">
        <v>34</v>
      </c>
      <c r="E120" s="9" t="str">
        <f>"243410021526"</f>
        <v>243410021526</v>
      </c>
      <c r="F120" s="10">
        <v>74.5</v>
      </c>
      <c r="G120" s="9">
        <v>76.5</v>
      </c>
      <c r="H120" s="9">
        <f>F120*0.4+G120*0.6</f>
        <v>75.7</v>
      </c>
      <c r="I120" s="9"/>
      <c r="J120" s="9">
        <f>H120+I120</f>
        <v>75.7</v>
      </c>
      <c r="K120" s="17">
        <v>81.63</v>
      </c>
      <c r="L120" s="20">
        <f>J120/1.2*0.4+K120*0.6</f>
        <v>74.21133333333333</v>
      </c>
    </row>
    <row r="121" spans="1:12" ht="14.25">
      <c r="A121" s="8">
        <v>119</v>
      </c>
      <c r="B121" s="9" t="s">
        <v>77</v>
      </c>
      <c r="C121" s="9" t="s">
        <v>78</v>
      </c>
      <c r="D121" s="9" t="s">
        <v>34</v>
      </c>
      <c r="E121" s="9" t="str">
        <f>"243410021519"</f>
        <v>243410021519</v>
      </c>
      <c r="F121" s="10">
        <v>73.5</v>
      </c>
      <c r="G121" s="9">
        <v>80.5</v>
      </c>
      <c r="H121" s="9">
        <f>F121*0.4+G121*0.6</f>
        <v>77.7</v>
      </c>
      <c r="I121" s="9"/>
      <c r="J121" s="9">
        <f>H121+I121</f>
        <v>77.7</v>
      </c>
      <c r="K121" s="17">
        <v>83.57</v>
      </c>
      <c r="L121" s="20">
        <f>J121/1.2*0.4+K121*0.6</f>
        <v>76.042</v>
      </c>
    </row>
    <row r="122" spans="1:12" ht="14.25">
      <c r="A122" s="8">
        <v>120</v>
      </c>
      <c r="B122" s="9" t="s">
        <v>77</v>
      </c>
      <c r="C122" s="9" t="s">
        <v>78</v>
      </c>
      <c r="D122" s="9" t="s">
        <v>34</v>
      </c>
      <c r="E122" s="9" t="str">
        <f>"243410021510"</f>
        <v>243410021510</v>
      </c>
      <c r="F122" s="10">
        <v>76.5</v>
      </c>
      <c r="G122" s="9">
        <v>86.5</v>
      </c>
      <c r="H122" s="9">
        <f>F122*0.4+G122*0.6</f>
        <v>82.5</v>
      </c>
      <c r="I122" s="9"/>
      <c r="J122" s="9">
        <f>H122+I122</f>
        <v>82.5</v>
      </c>
      <c r="K122" s="17">
        <v>79.07</v>
      </c>
      <c r="L122" s="20">
        <f>J122/1.2*0.4+K122*0.6</f>
        <v>74.942</v>
      </c>
    </row>
    <row r="123" spans="1:12" ht="14.25">
      <c r="A123" s="8">
        <v>121</v>
      </c>
      <c r="B123" s="9" t="s">
        <v>77</v>
      </c>
      <c r="C123" s="9" t="s">
        <v>78</v>
      </c>
      <c r="D123" s="9" t="s">
        <v>34</v>
      </c>
      <c r="E123" s="9" t="str">
        <f>"243410021522"</f>
        <v>243410021522</v>
      </c>
      <c r="F123" s="10">
        <v>75.5</v>
      </c>
      <c r="G123" s="9">
        <v>84</v>
      </c>
      <c r="H123" s="9">
        <f>F123*0.4+G123*0.6</f>
        <v>80.6</v>
      </c>
      <c r="I123" s="9"/>
      <c r="J123" s="9">
        <f>H123+I123</f>
        <v>80.6</v>
      </c>
      <c r="K123" s="17">
        <v>75.23</v>
      </c>
      <c r="L123" s="20">
        <f>J123/1.2*0.4+K123*0.6</f>
        <v>72.00466666666667</v>
      </c>
    </row>
    <row r="124" spans="1:12" ht="14.25">
      <c r="A124" s="8">
        <v>122</v>
      </c>
      <c r="B124" s="9" t="s">
        <v>77</v>
      </c>
      <c r="C124" s="9" t="s">
        <v>78</v>
      </c>
      <c r="D124" s="9" t="s">
        <v>34</v>
      </c>
      <c r="E124" s="9" t="str">
        <f>"243410021508"</f>
        <v>243410021508</v>
      </c>
      <c r="F124" s="10">
        <v>71</v>
      </c>
      <c r="G124" s="9">
        <v>80</v>
      </c>
      <c r="H124" s="9">
        <f>F124*0.4+G124*0.6</f>
        <v>76.4</v>
      </c>
      <c r="I124" s="9"/>
      <c r="J124" s="9">
        <f>H124+I124</f>
        <v>76.4</v>
      </c>
      <c r="K124" s="19" t="s">
        <v>16</v>
      </c>
      <c r="L124" s="20">
        <v>25.46666666666667</v>
      </c>
    </row>
    <row r="125" spans="1:12" ht="14.25">
      <c r="A125" s="8">
        <v>123</v>
      </c>
      <c r="B125" s="9" t="s">
        <v>77</v>
      </c>
      <c r="C125" s="9" t="s">
        <v>79</v>
      </c>
      <c r="D125" s="9" t="s">
        <v>36</v>
      </c>
      <c r="E125" s="9" t="str">
        <f>"243410020313"</f>
        <v>243410020313</v>
      </c>
      <c r="F125" s="10">
        <v>58.5</v>
      </c>
      <c r="G125" s="9">
        <v>97.5</v>
      </c>
      <c r="H125" s="9">
        <f>F125*0.4+G125*0.6</f>
        <v>81.9</v>
      </c>
      <c r="I125" s="9"/>
      <c r="J125" s="9">
        <f>H125+I125</f>
        <v>81.9</v>
      </c>
      <c r="K125" s="17">
        <v>68.73</v>
      </c>
      <c r="L125" s="20">
        <f>J125/1.2*0.4+K125*0.6</f>
        <v>68.53800000000001</v>
      </c>
    </row>
    <row r="126" spans="1:12" ht="14.25">
      <c r="A126" s="8">
        <v>124</v>
      </c>
      <c r="B126" s="12" t="s">
        <v>77</v>
      </c>
      <c r="C126" s="12" t="s">
        <v>79</v>
      </c>
      <c r="D126" s="13" t="s">
        <v>36</v>
      </c>
      <c r="E126" s="9" t="str">
        <f>"243410020308"</f>
        <v>243410020308</v>
      </c>
      <c r="F126" s="10">
        <v>51</v>
      </c>
      <c r="G126" s="9">
        <v>85.5</v>
      </c>
      <c r="H126" s="9">
        <f>F126*0.4+G126*0.6</f>
        <v>71.7</v>
      </c>
      <c r="I126" s="9"/>
      <c r="J126" s="9">
        <f>H126+I126</f>
        <v>71.7</v>
      </c>
      <c r="K126" s="17">
        <v>77.07</v>
      </c>
      <c r="L126" s="20">
        <f>J126/1.2*0.4+K126*0.6</f>
        <v>70.142</v>
      </c>
    </row>
    <row r="127" spans="1:12" ht="14.25">
      <c r="A127" s="8">
        <v>125</v>
      </c>
      <c r="B127" s="12" t="s">
        <v>77</v>
      </c>
      <c r="C127" s="12" t="s">
        <v>79</v>
      </c>
      <c r="D127" s="13" t="s">
        <v>36</v>
      </c>
      <c r="E127" s="9" t="str">
        <f>"243410020314"</f>
        <v>243410020314</v>
      </c>
      <c r="F127" s="10">
        <v>60.5</v>
      </c>
      <c r="G127" s="9">
        <v>83.5</v>
      </c>
      <c r="H127" s="9">
        <f>F127*0.4+G127*0.6</f>
        <v>74.30000000000001</v>
      </c>
      <c r="I127" s="9"/>
      <c r="J127" s="9">
        <f>H127+I127</f>
        <v>74.30000000000001</v>
      </c>
      <c r="K127" s="17">
        <v>79.5</v>
      </c>
      <c r="L127" s="20">
        <f>J127/1.2*0.4+K127*0.6</f>
        <v>72.46666666666667</v>
      </c>
    </row>
    <row r="128" spans="1:12" ht="14.25">
      <c r="A128" s="8">
        <v>126</v>
      </c>
      <c r="B128" s="9" t="s">
        <v>77</v>
      </c>
      <c r="C128" s="9" t="s">
        <v>79</v>
      </c>
      <c r="D128" s="9" t="s">
        <v>36</v>
      </c>
      <c r="E128" s="9" t="str">
        <f>"243410020306"</f>
        <v>243410020306</v>
      </c>
      <c r="F128" s="10">
        <v>91.5</v>
      </c>
      <c r="G128" s="9">
        <v>103.5</v>
      </c>
      <c r="H128" s="9">
        <f>F128*0.4+G128*0.6</f>
        <v>98.69999999999999</v>
      </c>
      <c r="I128" s="9"/>
      <c r="J128" s="9">
        <f>H128+I128</f>
        <v>98.69999999999999</v>
      </c>
      <c r="K128" s="17">
        <v>84.83</v>
      </c>
      <c r="L128" s="20">
        <f>J128/1.2*0.4+K128*0.6</f>
        <v>83.798</v>
      </c>
    </row>
    <row r="129" spans="1:12" ht="14.25">
      <c r="A129" s="8">
        <v>127</v>
      </c>
      <c r="B129" s="9" t="s">
        <v>77</v>
      </c>
      <c r="C129" s="9" t="s">
        <v>79</v>
      </c>
      <c r="D129" s="9" t="s">
        <v>36</v>
      </c>
      <c r="E129" s="9" t="str">
        <f>"243410020312"</f>
        <v>243410020312</v>
      </c>
      <c r="F129" s="10">
        <v>91.5</v>
      </c>
      <c r="G129" s="9">
        <v>103.5</v>
      </c>
      <c r="H129" s="9">
        <f>F129*0.4+G129*0.6</f>
        <v>98.69999999999999</v>
      </c>
      <c r="I129" s="9"/>
      <c r="J129" s="9">
        <f>H129+I129</f>
        <v>98.69999999999999</v>
      </c>
      <c r="K129" s="17">
        <v>82.5</v>
      </c>
      <c r="L129" s="20">
        <f>J129/1.2*0.4+K129*0.6</f>
        <v>82.4</v>
      </c>
    </row>
    <row r="130" spans="1:12" ht="14.25">
      <c r="A130" s="8">
        <v>128</v>
      </c>
      <c r="B130" s="9" t="s">
        <v>77</v>
      </c>
      <c r="C130" s="9" t="s">
        <v>79</v>
      </c>
      <c r="D130" s="9" t="s">
        <v>36</v>
      </c>
      <c r="E130" s="9" t="str">
        <f>"243410020311"</f>
        <v>243410020311</v>
      </c>
      <c r="F130" s="10">
        <v>75.5</v>
      </c>
      <c r="G130" s="9">
        <v>89</v>
      </c>
      <c r="H130" s="9">
        <f>F130*0.4+G130*0.6</f>
        <v>83.6</v>
      </c>
      <c r="I130" s="9"/>
      <c r="J130" s="9">
        <f>H130+I130</f>
        <v>83.6</v>
      </c>
      <c r="K130" s="17">
        <v>82</v>
      </c>
      <c r="L130" s="20">
        <f>J130/1.2*0.4+K130*0.6</f>
        <v>77.06666666666666</v>
      </c>
    </row>
    <row r="131" spans="1:12" ht="14.25">
      <c r="A131" s="8">
        <v>129</v>
      </c>
      <c r="B131" s="9" t="s">
        <v>77</v>
      </c>
      <c r="C131" s="9" t="s">
        <v>80</v>
      </c>
      <c r="D131" s="9" t="s">
        <v>57</v>
      </c>
      <c r="E131" s="9" t="str">
        <f>"243410020906"</f>
        <v>243410020906</v>
      </c>
      <c r="F131" s="10">
        <v>67.5</v>
      </c>
      <c r="G131" s="9">
        <v>78.5</v>
      </c>
      <c r="H131" s="9">
        <f>F131*0.4+G131*0.6</f>
        <v>74.1</v>
      </c>
      <c r="I131" s="9"/>
      <c r="J131" s="9">
        <f>H131+I131</f>
        <v>74.1</v>
      </c>
      <c r="K131" s="17">
        <v>68</v>
      </c>
      <c r="L131" s="20">
        <f>J131/1.2*0.4+K131*0.6</f>
        <v>65.5</v>
      </c>
    </row>
    <row r="132" spans="1:12" ht="14.25">
      <c r="A132" s="8">
        <v>130</v>
      </c>
      <c r="B132" s="11" t="s">
        <v>77</v>
      </c>
      <c r="C132" s="11" t="s">
        <v>80</v>
      </c>
      <c r="D132" s="11" t="s">
        <v>57</v>
      </c>
      <c r="E132" s="9" t="str">
        <f>"243410020904"</f>
        <v>243410020904</v>
      </c>
      <c r="F132" s="10">
        <v>65</v>
      </c>
      <c r="G132" s="9">
        <v>74.5</v>
      </c>
      <c r="H132" s="9">
        <f>F132*0.4+G132*0.6</f>
        <v>70.69999999999999</v>
      </c>
      <c r="I132" s="9"/>
      <c r="J132" s="9">
        <f>H132+I132</f>
        <v>70.69999999999999</v>
      </c>
      <c r="K132" s="17">
        <v>82.1</v>
      </c>
      <c r="L132" s="20">
        <f>J132/1.2*0.4+K132*0.6</f>
        <v>72.82666666666665</v>
      </c>
    </row>
    <row r="133" spans="1:12" ht="14.25">
      <c r="A133" s="8">
        <v>131</v>
      </c>
      <c r="B133" s="9" t="s">
        <v>77</v>
      </c>
      <c r="C133" s="9" t="s">
        <v>80</v>
      </c>
      <c r="D133" s="9" t="s">
        <v>57</v>
      </c>
      <c r="E133" s="9" t="str">
        <f>"243410020908"</f>
        <v>243410020908</v>
      </c>
      <c r="F133" s="10">
        <v>68.5</v>
      </c>
      <c r="G133" s="9">
        <v>81.5</v>
      </c>
      <c r="H133" s="9">
        <f>F133*0.4+G133*0.6</f>
        <v>76.3</v>
      </c>
      <c r="I133" s="9"/>
      <c r="J133" s="9">
        <f>H133+I133</f>
        <v>76.3</v>
      </c>
      <c r="K133" s="17">
        <v>80.37</v>
      </c>
      <c r="L133" s="20">
        <f>J133/1.2*0.4+K133*0.6</f>
        <v>73.65533333333335</v>
      </c>
    </row>
    <row r="134" spans="1:12" ht="14.25">
      <c r="A134" s="8">
        <v>132</v>
      </c>
      <c r="B134" s="9" t="s">
        <v>77</v>
      </c>
      <c r="C134" s="9" t="s">
        <v>81</v>
      </c>
      <c r="D134" s="9" t="s">
        <v>41</v>
      </c>
      <c r="E134" s="9" t="str">
        <f>"243410020510"</f>
        <v>243410020510</v>
      </c>
      <c r="F134" s="10">
        <v>70</v>
      </c>
      <c r="G134" s="9">
        <v>63</v>
      </c>
      <c r="H134" s="9">
        <f>F134*0.4+G134*0.6</f>
        <v>65.8</v>
      </c>
      <c r="I134" s="9"/>
      <c r="J134" s="9">
        <f>H134+I134</f>
        <v>65.8</v>
      </c>
      <c r="K134" s="17">
        <v>74.23</v>
      </c>
      <c r="L134" s="20">
        <f>J134/1.2*0.4+K134*0.6</f>
        <v>66.47133333333335</v>
      </c>
    </row>
    <row r="135" spans="1:12" ht="14.25">
      <c r="A135" s="8">
        <v>133</v>
      </c>
      <c r="B135" s="9" t="s">
        <v>77</v>
      </c>
      <c r="C135" s="9" t="s">
        <v>82</v>
      </c>
      <c r="D135" s="9" t="s">
        <v>83</v>
      </c>
      <c r="E135" s="9" t="str">
        <f>"243410011712"</f>
        <v>243410011712</v>
      </c>
      <c r="F135" s="10">
        <v>99</v>
      </c>
      <c r="G135" s="9">
        <v>74</v>
      </c>
      <c r="H135" s="9">
        <f>F135*0.4+G135*0.6</f>
        <v>84</v>
      </c>
      <c r="I135" s="9"/>
      <c r="J135" s="9">
        <f>H135+I135</f>
        <v>84</v>
      </c>
      <c r="K135" s="17">
        <v>80.17</v>
      </c>
      <c r="L135" s="20">
        <f>J135/1.2*0.4+K135*0.6</f>
        <v>76.102</v>
      </c>
    </row>
    <row r="136" spans="1:12" ht="14.25">
      <c r="A136" s="8">
        <v>134</v>
      </c>
      <c r="B136" s="9" t="s">
        <v>77</v>
      </c>
      <c r="C136" s="9" t="s">
        <v>82</v>
      </c>
      <c r="D136" s="9" t="s">
        <v>83</v>
      </c>
      <c r="E136" s="9" t="str">
        <f>"243410011703"</f>
        <v>243410011703</v>
      </c>
      <c r="F136" s="10">
        <v>98.5</v>
      </c>
      <c r="G136" s="9">
        <v>83</v>
      </c>
      <c r="H136" s="9">
        <f>F136*0.4+G136*0.6</f>
        <v>89.2</v>
      </c>
      <c r="I136" s="9"/>
      <c r="J136" s="9">
        <f>H136+I136</f>
        <v>89.2</v>
      </c>
      <c r="K136" s="17">
        <v>77.33</v>
      </c>
      <c r="L136" s="20">
        <f>J136/1.2*0.4+K136*0.6</f>
        <v>76.13133333333333</v>
      </c>
    </row>
    <row r="137" spans="1:12" ht="14.25">
      <c r="A137" s="8">
        <v>135</v>
      </c>
      <c r="B137" s="9" t="s">
        <v>77</v>
      </c>
      <c r="C137" s="9" t="s">
        <v>82</v>
      </c>
      <c r="D137" s="9" t="s">
        <v>83</v>
      </c>
      <c r="E137" s="9" t="str">
        <f>"243410011707"</f>
        <v>243410011707</v>
      </c>
      <c r="F137" s="10">
        <v>89</v>
      </c>
      <c r="G137" s="9">
        <v>82</v>
      </c>
      <c r="H137" s="9">
        <f>F137*0.4+G137*0.6</f>
        <v>84.8</v>
      </c>
      <c r="I137" s="9"/>
      <c r="J137" s="9">
        <f>H137+I137</f>
        <v>84.8</v>
      </c>
      <c r="K137" s="17">
        <v>77.83</v>
      </c>
      <c r="L137" s="20">
        <f>J137/1.2*0.4+K137*0.6</f>
        <v>74.96466666666667</v>
      </c>
    </row>
    <row r="138" spans="1:12" ht="14.25">
      <c r="A138" s="8">
        <v>136</v>
      </c>
      <c r="B138" s="9" t="s">
        <v>77</v>
      </c>
      <c r="C138" s="9" t="s">
        <v>84</v>
      </c>
      <c r="D138" s="9" t="s">
        <v>85</v>
      </c>
      <c r="E138" s="9" t="str">
        <f>"243410011507"</f>
        <v>243410011507</v>
      </c>
      <c r="F138" s="10">
        <v>94</v>
      </c>
      <c r="G138" s="9">
        <v>102.5</v>
      </c>
      <c r="H138" s="9">
        <f>F138*0.4+G138*0.6</f>
        <v>99.1</v>
      </c>
      <c r="I138" s="9"/>
      <c r="J138" s="9">
        <f>H138+I138</f>
        <v>99.1</v>
      </c>
      <c r="K138" s="17">
        <v>82.93</v>
      </c>
      <c r="L138" s="20">
        <f>J138/1.2*0.4+K138*0.6</f>
        <v>82.79133333333334</v>
      </c>
    </row>
    <row r="139" spans="1:12" ht="14.25">
      <c r="A139" s="8">
        <v>137</v>
      </c>
      <c r="B139" s="9" t="s">
        <v>77</v>
      </c>
      <c r="C139" s="9" t="s">
        <v>84</v>
      </c>
      <c r="D139" s="9" t="s">
        <v>85</v>
      </c>
      <c r="E139" s="9" t="str">
        <f>"243410011502"</f>
        <v>243410011502</v>
      </c>
      <c r="F139" s="10">
        <v>70</v>
      </c>
      <c r="G139" s="9">
        <v>88</v>
      </c>
      <c r="H139" s="9">
        <f>F139*0.4+G139*0.6</f>
        <v>80.8</v>
      </c>
      <c r="I139" s="9"/>
      <c r="J139" s="9">
        <f>H139+I139</f>
        <v>80.8</v>
      </c>
      <c r="K139" s="17">
        <v>82.03</v>
      </c>
      <c r="L139" s="20">
        <f>J139/1.2*0.4+K139*0.6</f>
        <v>76.15133333333333</v>
      </c>
    </row>
    <row r="140" spans="1:12" ht="14.25">
      <c r="A140" s="8">
        <v>138</v>
      </c>
      <c r="B140" s="9" t="s">
        <v>77</v>
      </c>
      <c r="C140" s="9" t="s">
        <v>84</v>
      </c>
      <c r="D140" s="9" t="s">
        <v>85</v>
      </c>
      <c r="E140" s="9" t="str">
        <f>"243410011505"</f>
        <v>243410011505</v>
      </c>
      <c r="F140" s="10">
        <v>99.5</v>
      </c>
      <c r="G140" s="9">
        <v>98.5</v>
      </c>
      <c r="H140" s="9">
        <f>F140*0.4+G140*0.6</f>
        <v>98.9</v>
      </c>
      <c r="I140" s="9"/>
      <c r="J140" s="9">
        <f>H140+I140</f>
        <v>98.9</v>
      </c>
      <c r="K140" s="17">
        <v>82.43</v>
      </c>
      <c r="L140" s="20">
        <f>J140/1.2*0.4+K140*0.6</f>
        <v>82.42466666666667</v>
      </c>
    </row>
    <row r="141" spans="1:12" ht="14.25">
      <c r="A141" s="8">
        <v>139</v>
      </c>
      <c r="B141" s="9" t="s">
        <v>77</v>
      </c>
      <c r="C141" s="9" t="s">
        <v>84</v>
      </c>
      <c r="D141" s="9" t="s">
        <v>85</v>
      </c>
      <c r="E141" s="9" t="str">
        <f>"243410011503"</f>
        <v>243410011503</v>
      </c>
      <c r="F141" s="10">
        <v>79</v>
      </c>
      <c r="G141" s="9">
        <v>90.5</v>
      </c>
      <c r="H141" s="9">
        <f>F141*0.4+G141*0.6</f>
        <v>85.9</v>
      </c>
      <c r="I141" s="9"/>
      <c r="J141" s="9">
        <f>H141+I141</f>
        <v>85.9</v>
      </c>
      <c r="K141" s="17">
        <v>76.9</v>
      </c>
      <c r="L141" s="20">
        <f>J141/1.2*0.4+K141*0.6</f>
        <v>74.77333333333334</v>
      </c>
    </row>
    <row r="142" spans="1:12" ht="14.25">
      <c r="A142" s="8">
        <v>140</v>
      </c>
      <c r="B142" s="9" t="s">
        <v>77</v>
      </c>
      <c r="C142" s="9" t="s">
        <v>84</v>
      </c>
      <c r="D142" s="9" t="s">
        <v>85</v>
      </c>
      <c r="E142" s="9" t="str">
        <f>"243410011506"</f>
        <v>243410011506</v>
      </c>
      <c r="F142" s="10">
        <v>73</v>
      </c>
      <c r="G142" s="9">
        <v>94</v>
      </c>
      <c r="H142" s="9">
        <f>F142*0.4+G142*0.6</f>
        <v>85.6</v>
      </c>
      <c r="I142" s="9"/>
      <c r="J142" s="9">
        <f>H142+I142</f>
        <v>85.6</v>
      </c>
      <c r="K142" s="17">
        <v>74.57</v>
      </c>
      <c r="L142" s="20">
        <f>J142/1.2*0.4+K142*0.6</f>
        <v>73.27533333333332</v>
      </c>
    </row>
    <row r="143" spans="1:12" ht="14.25">
      <c r="A143" s="8">
        <v>141</v>
      </c>
      <c r="B143" s="9" t="s">
        <v>77</v>
      </c>
      <c r="C143" s="9" t="s">
        <v>84</v>
      </c>
      <c r="D143" s="9" t="s">
        <v>85</v>
      </c>
      <c r="E143" s="9" t="str">
        <f>"243410011501"</f>
        <v>243410011501</v>
      </c>
      <c r="F143" s="10">
        <v>68</v>
      </c>
      <c r="G143" s="9">
        <v>67</v>
      </c>
      <c r="H143" s="9">
        <f>F143*0.4+G143*0.6</f>
        <v>67.4</v>
      </c>
      <c r="I143" s="9"/>
      <c r="J143" s="9">
        <f>H143+I143</f>
        <v>67.4</v>
      </c>
      <c r="K143" s="17">
        <v>71.47</v>
      </c>
      <c r="L143" s="20">
        <f>J143/1.2*0.4+K143*0.6</f>
        <v>65.34866666666667</v>
      </c>
    </row>
    <row r="144" spans="1:12" ht="14.25">
      <c r="A144" s="8">
        <v>142</v>
      </c>
      <c r="B144" s="9" t="s">
        <v>77</v>
      </c>
      <c r="C144" s="9" t="s">
        <v>86</v>
      </c>
      <c r="D144" s="9" t="s">
        <v>87</v>
      </c>
      <c r="E144" s="9" t="str">
        <f>"243410013811"</f>
        <v>243410013811</v>
      </c>
      <c r="F144" s="10">
        <v>75</v>
      </c>
      <c r="G144" s="9">
        <v>85.5</v>
      </c>
      <c r="H144" s="9">
        <f>F144*0.4+G144*0.6</f>
        <v>81.3</v>
      </c>
      <c r="I144" s="9"/>
      <c r="J144" s="9">
        <f>H144+I144</f>
        <v>81.3</v>
      </c>
      <c r="K144" s="21">
        <v>74.9</v>
      </c>
      <c r="L144" s="20">
        <f>J144/1.2*0.4+K144*0.6</f>
        <v>72.04</v>
      </c>
    </row>
    <row r="145" spans="1:12" ht="14.25">
      <c r="A145" s="8">
        <v>143</v>
      </c>
      <c r="B145" s="9" t="s">
        <v>77</v>
      </c>
      <c r="C145" s="9" t="s">
        <v>86</v>
      </c>
      <c r="D145" s="9" t="s">
        <v>87</v>
      </c>
      <c r="E145" s="9" t="str">
        <f>"243410013813"</f>
        <v>243410013813</v>
      </c>
      <c r="F145" s="10">
        <v>72.5</v>
      </c>
      <c r="G145" s="9">
        <v>87</v>
      </c>
      <c r="H145" s="9">
        <f>F145*0.4+G145*0.6</f>
        <v>81.19999999999999</v>
      </c>
      <c r="I145" s="9"/>
      <c r="J145" s="9">
        <f>H145+I145</f>
        <v>81.19999999999999</v>
      </c>
      <c r="K145" s="21">
        <v>78.53</v>
      </c>
      <c r="L145" s="20">
        <f>J145/1.2*0.4+K145*0.6</f>
        <v>74.18466666666666</v>
      </c>
    </row>
    <row r="146" spans="1:12" ht="14.25">
      <c r="A146" s="8">
        <v>144</v>
      </c>
      <c r="B146" s="9" t="s">
        <v>77</v>
      </c>
      <c r="C146" s="9" t="s">
        <v>86</v>
      </c>
      <c r="D146" s="9" t="s">
        <v>87</v>
      </c>
      <c r="E146" s="9" t="str">
        <f>"243410013810"</f>
        <v>243410013810</v>
      </c>
      <c r="F146" s="10">
        <v>90.5</v>
      </c>
      <c r="G146" s="9">
        <v>92</v>
      </c>
      <c r="H146" s="9">
        <f>F146*0.4+G146*0.6</f>
        <v>91.4</v>
      </c>
      <c r="I146" s="9"/>
      <c r="J146" s="9">
        <f>H146+I146</f>
        <v>91.4</v>
      </c>
      <c r="K146" s="21">
        <v>76.83</v>
      </c>
      <c r="L146" s="20">
        <f>J146/1.2*0.4+K146*0.6</f>
        <v>76.56466666666667</v>
      </c>
    </row>
    <row r="147" spans="1:12" ht="14.25">
      <c r="A147" s="8">
        <v>145</v>
      </c>
      <c r="B147" s="9" t="s">
        <v>77</v>
      </c>
      <c r="C147" s="9" t="s">
        <v>88</v>
      </c>
      <c r="D147" s="9" t="s">
        <v>59</v>
      </c>
      <c r="E147" s="9" t="str">
        <f>"243410020630"</f>
        <v>243410020630</v>
      </c>
      <c r="F147" s="10">
        <v>75.5</v>
      </c>
      <c r="G147" s="9">
        <v>79</v>
      </c>
      <c r="H147" s="9">
        <f>F147*0.4+G147*0.6</f>
        <v>77.6</v>
      </c>
      <c r="I147" s="9"/>
      <c r="J147" s="9">
        <f>H147+I147</f>
        <v>77.6</v>
      </c>
      <c r="K147" s="17">
        <v>75.77</v>
      </c>
      <c r="L147" s="20">
        <f>J147/1.2*0.4+K147*0.6</f>
        <v>71.32866666666666</v>
      </c>
    </row>
    <row r="148" spans="1:12" ht="14.25">
      <c r="A148" s="8">
        <v>146</v>
      </c>
      <c r="B148" s="9" t="s">
        <v>77</v>
      </c>
      <c r="C148" s="9" t="s">
        <v>88</v>
      </c>
      <c r="D148" s="9" t="s">
        <v>59</v>
      </c>
      <c r="E148" s="9" t="str">
        <f>"243410020624"</f>
        <v>243410020624</v>
      </c>
      <c r="F148" s="10">
        <v>85.5</v>
      </c>
      <c r="G148" s="9">
        <v>71.5</v>
      </c>
      <c r="H148" s="9">
        <f>F148*0.4+G148*0.6</f>
        <v>77.1</v>
      </c>
      <c r="I148" s="9"/>
      <c r="J148" s="9">
        <f>H148+I148</f>
        <v>77.1</v>
      </c>
      <c r="K148" s="17">
        <v>77.43</v>
      </c>
      <c r="L148" s="20">
        <f>J148/1.2*0.4+K148*0.6</f>
        <v>72.15800000000002</v>
      </c>
    </row>
    <row r="149" spans="1:12" ht="14.25">
      <c r="A149" s="8">
        <v>147</v>
      </c>
      <c r="B149" s="9" t="s">
        <v>77</v>
      </c>
      <c r="C149" s="9" t="s">
        <v>88</v>
      </c>
      <c r="D149" s="9" t="s">
        <v>59</v>
      </c>
      <c r="E149" s="9" t="str">
        <f>"243410020629"</f>
        <v>243410020629</v>
      </c>
      <c r="F149" s="10">
        <v>79.5</v>
      </c>
      <c r="G149" s="9">
        <v>78</v>
      </c>
      <c r="H149" s="9">
        <f>F149*0.4+G149*0.6</f>
        <v>78.6</v>
      </c>
      <c r="I149" s="9"/>
      <c r="J149" s="9">
        <f>H149+I149</f>
        <v>78.6</v>
      </c>
      <c r="K149" s="17">
        <v>82.97</v>
      </c>
      <c r="L149" s="20">
        <f>J149/1.2*0.4+K149*0.6</f>
        <v>75.982</v>
      </c>
    </row>
    <row r="150" spans="1:12" ht="14.25">
      <c r="A150" s="8">
        <v>148</v>
      </c>
      <c r="B150" s="9" t="s">
        <v>89</v>
      </c>
      <c r="C150" s="9" t="s">
        <v>90</v>
      </c>
      <c r="D150" s="9" t="s">
        <v>91</v>
      </c>
      <c r="E150" s="9" t="str">
        <f>"243410012322"</f>
        <v>243410012322</v>
      </c>
      <c r="F150" s="10">
        <v>85.5</v>
      </c>
      <c r="G150" s="9">
        <v>82.5</v>
      </c>
      <c r="H150" s="9">
        <f>F150*0.4+G150*0.6</f>
        <v>83.7</v>
      </c>
      <c r="I150" s="9"/>
      <c r="J150" s="9">
        <f>H150+I150</f>
        <v>83.7</v>
      </c>
      <c r="K150" s="17">
        <v>78.83</v>
      </c>
      <c r="L150" s="22">
        <f>J150/1.2*0.4+K150*0.6</f>
        <v>75.198</v>
      </c>
    </row>
    <row r="151" spans="1:12" ht="14.25">
      <c r="A151" s="8">
        <v>149</v>
      </c>
      <c r="B151" s="9" t="s">
        <v>89</v>
      </c>
      <c r="C151" s="9" t="s">
        <v>90</v>
      </c>
      <c r="D151" s="9" t="s">
        <v>91</v>
      </c>
      <c r="E151" s="9" t="str">
        <f>"243410012303"</f>
        <v>243410012303</v>
      </c>
      <c r="F151" s="10">
        <v>92</v>
      </c>
      <c r="G151" s="9">
        <v>84.5</v>
      </c>
      <c r="H151" s="9">
        <f>F151*0.4+G151*0.6</f>
        <v>87.5</v>
      </c>
      <c r="I151" s="9"/>
      <c r="J151" s="9">
        <f>H151+I151</f>
        <v>87.5</v>
      </c>
      <c r="K151" s="17">
        <v>78.27</v>
      </c>
      <c r="L151" s="22">
        <f>J151/1.2*0.4+K151*0.6</f>
        <v>76.12866666666667</v>
      </c>
    </row>
    <row r="152" spans="1:12" ht="14.25">
      <c r="A152" s="8">
        <v>150</v>
      </c>
      <c r="B152" s="9" t="s">
        <v>89</v>
      </c>
      <c r="C152" s="9" t="s">
        <v>90</v>
      </c>
      <c r="D152" s="9" t="s">
        <v>91</v>
      </c>
      <c r="E152" s="9" t="str">
        <f>"243410012212"</f>
        <v>243410012212</v>
      </c>
      <c r="F152" s="10">
        <v>88</v>
      </c>
      <c r="G152" s="9">
        <v>86</v>
      </c>
      <c r="H152" s="9">
        <f>F152*0.4+G152*0.6</f>
        <v>86.80000000000001</v>
      </c>
      <c r="I152" s="9"/>
      <c r="J152" s="9">
        <f>H152+I152</f>
        <v>86.80000000000001</v>
      </c>
      <c r="K152" s="17">
        <v>81.77</v>
      </c>
      <c r="L152" s="22">
        <f>J152/1.2*0.4+K152*0.6</f>
        <v>77.99533333333333</v>
      </c>
    </row>
    <row r="153" spans="1:12" ht="14.25">
      <c r="A153" s="8">
        <v>151</v>
      </c>
      <c r="B153" s="9" t="s">
        <v>89</v>
      </c>
      <c r="C153" s="9" t="s">
        <v>90</v>
      </c>
      <c r="D153" s="9" t="s">
        <v>91</v>
      </c>
      <c r="E153" s="9" t="str">
        <f>"243410012211"</f>
        <v>243410012211</v>
      </c>
      <c r="F153" s="10">
        <v>93.5</v>
      </c>
      <c r="G153" s="9">
        <v>81.5</v>
      </c>
      <c r="H153" s="9">
        <f>F153*0.4+G153*0.6</f>
        <v>86.3</v>
      </c>
      <c r="I153" s="9"/>
      <c r="J153" s="9">
        <f>H153+I153</f>
        <v>86.3</v>
      </c>
      <c r="K153" s="17">
        <v>72.77</v>
      </c>
      <c r="L153" s="22">
        <f>J153/1.2*0.4+K153*0.6</f>
        <v>72.42866666666667</v>
      </c>
    </row>
    <row r="154" spans="1:12" ht="14.25">
      <c r="A154" s="8">
        <v>152</v>
      </c>
      <c r="B154" s="9" t="s">
        <v>89</v>
      </c>
      <c r="C154" s="9" t="s">
        <v>90</v>
      </c>
      <c r="D154" s="9" t="s">
        <v>91</v>
      </c>
      <c r="E154" s="9" t="str">
        <f>"243410012208"</f>
        <v>243410012208</v>
      </c>
      <c r="F154" s="10">
        <v>97.5</v>
      </c>
      <c r="G154" s="9">
        <v>88.5</v>
      </c>
      <c r="H154" s="9">
        <f>F154*0.4+G154*0.6</f>
        <v>92.1</v>
      </c>
      <c r="I154" s="9"/>
      <c r="J154" s="9">
        <f>H154+I154</f>
        <v>92.1</v>
      </c>
      <c r="K154" s="17">
        <v>76.7</v>
      </c>
      <c r="L154" s="22">
        <f>J154/1.2*0.4+K154*0.6</f>
        <v>76.72</v>
      </c>
    </row>
    <row r="155" spans="1:12" ht="14.25">
      <c r="A155" s="8">
        <v>153</v>
      </c>
      <c r="B155" s="9" t="s">
        <v>89</v>
      </c>
      <c r="C155" s="9" t="s">
        <v>90</v>
      </c>
      <c r="D155" s="9" t="s">
        <v>91</v>
      </c>
      <c r="E155" s="9" t="str">
        <f>"243410012321"</f>
        <v>243410012321</v>
      </c>
      <c r="F155" s="10">
        <v>89.5</v>
      </c>
      <c r="G155" s="9">
        <v>81</v>
      </c>
      <c r="H155" s="9">
        <f>F155*0.4+G155*0.6</f>
        <v>84.4</v>
      </c>
      <c r="I155" s="9"/>
      <c r="J155" s="9">
        <f>H155+I155</f>
        <v>84.4</v>
      </c>
      <c r="K155" s="17">
        <v>79.73</v>
      </c>
      <c r="L155" s="22">
        <f>J155/1.2*0.4+K155*0.6</f>
        <v>75.97133333333335</v>
      </c>
    </row>
    <row r="156" spans="1:12" ht="14.25">
      <c r="A156" s="8">
        <v>154</v>
      </c>
      <c r="B156" s="9" t="s">
        <v>89</v>
      </c>
      <c r="C156" s="9" t="s">
        <v>92</v>
      </c>
      <c r="D156" s="9" t="s">
        <v>91</v>
      </c>
      <c r="E156" s="9" t="str">
        <f>"243410012327"</f>
        <v>243410012327</v>
      </c>
      <c r="F156" s="10">
        <v>93.5</v>
      </c>
      <c r="G156" s="9">
        <v>88</v>
      </c>
      <c r="H156" s="9">
        <f>F156*0.4+G156*0.6</f>
        <v>90.19999999999999</v>
      </c>
      <c r="I156" s="9"/>
      <c r="J156" s="9">
        <f>H156+I156</f>
        <v>90.19999999999999</v>
      </c>
      <c r="K156" s="17">
        <v>84.77</v>
      </c>
      <c r="L156" s="22">
        <f>J156/1.2*0.4+K156*0.6</f>
        <v>80.92866666666666</v>
      </c>
    </row>
    <row r="157" spans="1:12" ht="14.25">
      <c r="A157" s="8">
        <v>155</v>
      </c>
      <c r="B157" s="9" t="s">
        <v>89</v>
      </c>
      <c r="C157" s="9" t="s">
        <v>92</v>
      </c>
      <c r="D157" s="9" t="s">
        <v>91</v>
      </c>
      <c r="E157" s="9" t="str">
        <f>"243410012403"</f>
        <v>243410012403</v>
      </c>
      <c r="F157" s="10">
        <v>87</v>
      </c>
      <c r="G157" s="9">
        <v>83</v>
      </c>
      <c r="H157" s="9">
        <f>F157*0.4+G157*0.6</f>
        <v>84.6</v>
      </c>
      <c r="I157" s="9"/>
      <c r="J157" s="9">
        <f>H157+I157</f>
        <v>84.6</v>
      </c>
      <c r="K157" s="17">
        <v>69.5</v>
      </c>
      <c r="L157" s="22">
        <f>J157/1.2*0.4+K157*0.6</f>
        <v>69.9</v>
      </c>
    </row>
    <row r="158" spans="1:12" ht="14.25">
      <c r="A158" s="8">
        <v>156</v>
      </c>
      <c r="B158" s="9" t="s">
        <v>89</v>
      </c>
      <c r="C158" s="9" t="s">
        <v>92</v>
      </c>
      <c r="D158" s="9" t="s">
        <v>91</v>
      </c>
      <c r="E158" s="9" t="str">
        <f>"243410012406"</f>
        <v>243410012406</v>
      </c>
      <c r="F158" s="10">
        <v>95.5</v>
      </c>
      <c r="G158" s="9">
        <v>91.5</v>
      </c>
      <c r="H158" s="9">
        <f>F158*0.4+G158*0.6</f>
        <v>93.1</v>
      </c>
      <c r="I158" s="9"/>
      <c r="J158" s="9">
        <f>H158+I158</f>
        <v>93.1</v>
      </c>
      <c r="K158" s="21">
        <v>76.27</v>
      </c>
      <c r="L158" s="22">
        <f>J158/1.2*0.4+K158*0.6</f>
        <v>76.79533333333333</v>
      </c>
    </row>
    <row r="159" spans="1:12" ht="14.25">
      <c r="A159" s="8">
        <v>157</v>
      </c>
      <c r="B159" s="9" t="s">
        <v>93</v>
      </c>
      <c r="C159" s="9" t="s">
        <v>94</v>
      </c>
      <c r="D159" s="9" t="s">
        <v>95</v>
      </c>
      <c r="E159" s="9" t="str">
        <f>"243410010103"</f>
        <v>243410010103</v>
      </c>
      <c r="F159" s="10">
        <v>86</v>
      </c>
      <c r="G159" s="9">
        <v>96.5</v>
      </c>
      <c r="H159" s="9">
        <f>F159*0.4+G159*0.6</f>
        <v>92.3</v>
      </c>
      <c r="I159" s="9"/>
      <c r="J159" s="9">
        <f>H159+I159</f>
        <v>92.3</v>
      </c>
      <c r="K159" s="21">
        <v>76.53</v>
      </c>
      <c r="L159" s="20">
        <f>J159/1.2*0.4+K159*0.6</f>
        <v>76.68466666666667</v>
      </c>
    </row>
    <row r="160" spans="1:12" ht="14.25">
      <c r="A160" s="8">
        <v>158</v>
      </c>
      <c r="B160" s="9" t="s">
        <v>93</v>
      </c>
      <c r="C160" s="9" t="s">
        <v>94</v>
      </c>
      <c r="D160" s="9" t="s">
        <v>95</v>
      </c>
      <c r="E160" s="9" t="str">
        <f>"243410010113"</f>
        <v>243410010113</v>
      </c>
      <c r="F160" s="10">
        <v>88.5</v>
      </c>
      <c r="G160" s="9">
        <v>102.5</v>
      </c>
      <c r="H160" s="9">
        <f>F160*0.4+G160*0.6</f>
        <v>96.9</v>
      </c>
      <c r="I160" s="9"/>
      <c r="J160" s="9">
        <f>H160+I160</f>
        <v>96.9</v>
      </c>
      <c r="K160" s="21">
        <v>79.03</v>
      </c>
      <c r="L160" s="20">
        <f>J160/1.2*0.4+K160*0.6</f>
        <v>79.718</v>
      </c>
    </row>
    <row r="161" spans="1:12" ht="14.25">
      <c r="A161" s="8">
        <v>159</v>
      </c>
      <c r="B161" s="14" t="s">
        <v>93</v>
      </c>
      <c r="C161" s="14" t="s">
        <v>94</v>
      </c>
      <c r="D161" s="9" t="s">
        <v>95</v>
      </c>
      <c r="E161" s="9" t="str">
        <f>"243410010110"</f>
        <v>243410010110</v>
      </c>
      <c r="F161" s="10">
        <v>88.5</v>
      </c>
      <c r="G161" s="9">
        <v>102.5</v>
      </c>
      <c r="H161" s="9">
        <f>F161*0.4+G161*0.6</f>
        <v>96.9</v>
      </c>
      <c r="I161" s="9"/>
      <c r="J161" s="9">
        <f>H161+I161</f>
        <v>96.9</v>
      </c>
      <c r="K161" s="21">
        <v>80.87</v>
      </c>
      <c r="L161" s="20">
        <f>J161/1.2*0.4+K161*0.6</f>
        <v>80.822</v>
      </c>
    </row>
    <row r="162" spans="1:12" s="2" customFormat="1" ht="14.25">
      <c r="A162" s="8">
        <v>160</v>
      </c>
      <c r="B162" s="9" t="s">
        <v>96</v>
      </c>
      <c r="C162" s="9" t="s">
        <v>97</v>
      </c>
      <c r="D162" s="9" t="s">
        <v>98</v>
      </c>
      <c r="E162" s="9" t="str">
        <f>"243410010613"</f>
        <v>243410010613</v>
      </c>
      <c r="F162" s="10">
        <v>99</v>
      </c>
      <c r="G162" s="9">
        <v>82</v>
      </c>
      <c r="H162" s="9">
        <f>F162*0.4+G162*0.6</f>
        <v>88.8</v>
      </c>
      <c r="I162" s="9"/>
      <c r="J162" s="9">
        <f>H162+I162</f>
        <v>88.8</v>
      </c>
      <c r="K162" s="17">
        <v>84.13</v>
      </c>
      <c r="L162" s="20">
        <f>J162/1.2*0.4+K162*0.6</f>
        <v>80.078</v>
      </c>
    </row>
    <row r="163" spans="1:12" s="2" customFormat="1" ht="14.25">
      <c r="A163" s="8">
        <v>161</v>
      </c>
      <c r="B163" s="9" t="s">
        <v>96</v>
      </c>
      <c r="C163" s="9" t="s">
        <v>97</v>
      </c>
      <c r="D163" s="9" t="s">
        <v>98</v>
      </c>
      <c r="E163" s="9" t="str">
        <f>"243410010603"</f>
        <v>243410010603</v>
      </c>
      <c r="F163" s="10">
        <v>96</v>
      </c>
      <c r="G163" s="9">
        <v>79.5</v>
      </c>
      <c r="H163" s="9">
        <f>F163*0.4+G163*0.6</f>
        <v>86.1</v>
      </c>
      <c r="I163" s="9"/>
      <c r="J163" s="9">
        <f>H163+I163</f>
        <v>86.1</v>
      </c>
      <c r="K163" s="17">
        <v>80.67</v>
      </c>
      <c r="L163" s="20">
        <f>J163/1.2*0.4+K163*0.6</f>
        <v>77.102</v>
      </c>
    </row>
    <row r="164" spans="1:12" s="2" customFormat="1" ht="14.25">
      <c r="A164" s="8">
        <v>162</v>
      </c>
      <c r="B164" s="9" t="s">
        <v>96</v>
      </c>
      <c r="C164" s="9" t="s">
        <v>97</v>
      </c>
      <c r="D164" s="9" t="s">
        <v>98</v>
      </c>
      <c r="E164" s="9" t="str">
        <f>"243410010701"</f>
        <v>243410010701</v>
      </c>
      <c r="F164" s="10">
        <v>93.5</v>
      </c>
      <c r="G164" s="9">
        <v>88</v>
      </c>
      <c r="H164" s="9">
        <f>F164*0.4+G164*0.6</f>
        <v>90.19999999999999</v>
      </c>
      <c r="I164" s="9"/>
      <c r="J164" s="9">
        <f>H164+I164</f>
        <v>90.19999999999999</v>
      </c>
      <c r="K164" s="17">
        <v>81.23</v>
      </c>
      <c r="L164" s="20">
        <f>J164/1.2*0.4+K164*0.6</f>
        <v>78.80466666666666</v>
      </c>
    </row>
    <row r="165" spans="1:12" s="2" customFormat="1" ht="14.25">
      <c r="A165" s="8">
        <v>163</v>
      </c>
      <c r="B165" s="11" t="s">
        <v>96</v>
      </c>
      <c r="C165" s="11" t="s">
        <v>97</v>
      </c>
      <c r="D165" s="11" t="s">
        <v>98</v>
      </c>
      <c r="E165" s="9" t="str">
        <f>"243410010619"</f>
        <v>243410010619</v>
      </c>
      <c r="F165" s="10">
        <v>83.5</v>
      </c>
      <c r="G165" s="9">
        <v>72</v>
      </c>
      <c r="H165" s="9">
        <f>F165*0.4+G165*0.6</f>
        <v>76.6</v>
      </c>
      <c r="I165" s="9"/>
      <c r="J165" s="9">
        <f>H165+I165</f>
        <v>76.6</v>
      </c>
      <c r="K165" s="17">
        <v>81.33</v>
      </c>
      <c r="L165" s="20">
        <f>J165/1.2*0.4+K165*0.6</f>
        <v>74.33133333333333</v>
      </c>
    </row>
    <row r="166" spans="1:12" s="2" customFormat="1" ht="14.25">
      <c r="A166" s="8">
        <v>164</v>
      </c>
      <c r="B166" s="9" t="s">
        <v>96</v>
      </c>
      <c r="C166" s="9" t="s">
        <v>97</v>
      </c>
      <c r="D166" s="9" t="s">
        <v>98</v>
      </c>
      <c r="E166" s="9" t="str">
        <f>"243410010616"</f>
        <v>243410010616</v>
      </c>
      <c r="F166" s="10">
        <v>93.5</v>
      </c>
      <c r="G166" s="9">
        <v>73</v>
      </c>
      <c r="H166" s="9">
        <f>F166*0.4+G166*0.6</f>
        <v>81.19999999999999</v>
      </c>
      <c r="I166" s="9"/>
      <c r="J166" s="9">
        <f>H166+I166</f>
        <v>81.19999999999999</v>
      </c>
      <c r="K166" s="17">
        <v>79.53</v>
      </c>
      <c r="L166" s="20">
        <f>J166/1.2*0.4+K166*0.6</f>
        <v>74.78466666666665</v>
      </c>
    </row>
    <row r="167" spans="1:12" s="2" customFormat="1" ht="14.25">
      <c r="A167" s="8">
        <v>165</v>
      </c>
      <c r="B167" s="9" t="s">
        <v>96</v>
      </c>
      <c r="C167" s="9" t="s">
        <v>97</v>
      </c>
      <c r="D167" s="9" t="s">
        <v>98</v>
      </c>
      <c r="E167" s="9" t="str">
        <f>"243410010610"</f>
        <v>243410010610</v>
      </c>
      <c r="F167" s="10">
        <v>79.5</v>
      </c>
      <c r="G167" s="9">
        <v>82.5</v>
      </c>
      <c r="H167" s="9">
        <f>F167*0.4+G167*0.6</f>
        <v>81.3</v>
      </c>
      <c r="I167" s="9"/>
      <c r="J167" s="9">
        <f>H167+I167</f>
        <v>81.3</v>
      </c>
      <c r="K167" s="17">
        <v>84.43</v>
      </c>
      <c r="L167" s="20">
        <f>J167/1.2*0.4+K167*0.6</f>
        <v>77.75800000000001</v>
      </c>
    </row>
    <row r="168" spans="1:12" s="2" customFormat="1" ht="14.25">
      <c r="A168" s="8">
        <v>166</v>
      </c>
      <c r="B168" s="9" t="s">
        <v>96</v>
      </c>
      <c r="C168" s="9" t="s">
        <v>99</v>
      </c>
      <c r="D168" s="9" t="s">
        <v>83</v>
      </c>
      <c r="E168" s="9" t="str">
        <f>"243410011724"</f>
        <v>243410011724</v>
      </c>
      <c r="F168" s="10">
        <v>98.5</v>
      </c>
      <c r="G168" s="9">
        <v>82.5</v>
      </c>
      <c r="H168" s="9">
        <f>F168*0.4+G168*0.6</f>
        <v>88.9</v>
      </c>
      <c r="I168" s="9"/>
      <c r="J168" s="9">
        <f>H168+I168</f>
        <v>88.9</v>
      </c>
      <c r="K168" s="17">
        <v>76.17</v>
      </c>
      <c r="L168" s="20">
        <f>J168/1.2*0.4+K168*0.6</f>
        <v>75.33533333333334</v>
      </c>
    </row>
    <row r="169" spans="1:12" s="2" customFormat="1" ht="14.25">
      <c r="A169" s="8">
        <v>167</v>
      </c>
      <c r="B169" s="9" t="s">
        <v>96</v>
      </c>
      <c r="C169" s="9" t="s">
        <v>99</v>
      </c>
      <c r="D169" s="9" t="s">
        <v>83</v>
      </c>
      <c r="E169" s="9" t="str">
        <f>"243410011730"</f>
        <v>243410011730</v>
      </c>
      <c r="F169" s="10">
        <v>94.5</v>
      </c>
      <c r="G169" s="9">
        <v>85</v>
      </c>
      <c r="H169" s="9">
        <f>F169*0.4+G169*0.6</f>
        <v>88.80000000000001</v>
      </c>
      <c r="I169" s="9"/>
      <c r="J169" s="9">
        <f>H169+I169</f>
        <v>88.80000000000001</v>
      </c>
      <c r="K169" s="17">
        <v>81.6</v>
      </c>
      <c r="L169" s="20">
        <f>J169/1.2*0.4+K169*0.6</f>
        <v>78.56</v>
      </c>
    </row>
    <row r="170" spans="1:12" s="2" customFormat="1" ht="14.25">
      <c r="A170" s="8">
        <v>168</v>
      </c>
      <c r="B170" s="9" t="s">
        <v>96</v>
      </c>
      <c r="C170" s="9" t="s">
        <v>99</v>
      </c>
      <c r="D170" s="9" t="s">
        <v>83</v>
      </c>
      <c r="E170" s="9" t="str">
        <f>"243410011723"</f>
        <v>243410011723</v>
      </c>
      <c r="F170" s="10">
        <v>99.5</v>
      </c>
      <c r="G170" s="9">
        <v>92.5</v>
      </c>
      <c r="H170" s="9">
        <f>F170*0.4+G170*0.6</f>
        <v>95.30000000000001</v>
      </c>
      <c r="I170" s="9"/>
      <c r="J170" s="9">
        <f>H170+I170</f>
        <v>95.30000000000001</v>
      </c>
      <c r="K170" s="17">
        <v>82.6</v>
      </c>
      <c r="L170" s="20">
        <f>J170/1.2*0.4+K170*0.6</f>
        <v>81.32666666666667</v>
      </c>
    </row>
    <row r="171" spans="1:12" s="2" customFormat="1" ht="14.25">
      <c r="A171" s="8">
        <v>169</v>
      </c>
      <c r="B171" s="14" t="s">
        <v>96</v>
      </c>
      <c r="C171" s="14" t="s">
        <v>100</v>
      </c>
      <c r="D171" s="9" t="s">
        <v>95</v>
      </c>
      <c r="E171" s="9" t="str">
        <f>"243410010121"</f>
        <v>243410010121</v>
      </c>
      <c r="F171" s="10">
        <v>89</v>
      </c>
      <c r="G171" s="9">
        <v>104</v>
      </c>
      <c r="H171" s="9">
        <f>F171*0.4+G171*0.6</f>
        <v>98</v>
      </c>
      <c r="I171" s="9"/>
      <c r="J171" s="9">
        <f>H171+I171</f>
        <v>98</v>
      </c>
      <c r="K171" s="17">
        <v>79.5</v>
      </c>
      <c r="L171" s="20">
        <f>J171/1.2*0.4+K171*0.6</f>
        <v>80.36666666666667</v>
      </c>
    </row>
    <row r="172" spans="1:12" s="2" customFormat="1" ht="14.25">
      <c r="A172" s="8">
        <v>170</v>
      </c>
      <c r="B172" s="14" t="s">
        <v>96</v>
      </c>
      <c r="C172" s="14" t="s">
        <v>100</v>
      </c>
      <c r="D172" s="9" t="s">
        <v>95</v>
      </c>
      <c r="E172" s="9" t="str">
        <f>"243410010129"</f>
        <v>243410010129</v>
      </c>
      <c r="F172" s="10">
        <v>74</v>
      </c>
      <c r="G172" s="9">
        <v>92.5</v>
      </c>
      <c r="H172" s="9">
        <f>F172*0.4+G172*0.6</f>
        <v>85.1</v>
      </c>
      <c r="I172" s="9"/>
      <c r="J172" s="9">
        <f>H172+I172</f>
        <v>85.1</v>
      </c>
      <c r="K172" s="17">
        <v>75.73</v>
      </c>
      <c r="L172" s="20">
        <f>J172/1.2*0.4+K172*0.6</f>
        <v>73.80466666666668</v>
      </c>
    </row>
    <row r="173" spans="1:12" s="2" customFormat="1" ht="14.25">
      <c r="A173" s="8">
        <v>171</v>
      </c>
      <c r="B173" s="14" t="s">
        <v>96</v>
      </c>
      <c r="C173" s="14" t="s">
        <v>100</v>
      </c>
      <c r="D173" s="9" t="s">
        <v>95</v>
      </c>
      <c r="E173" s="9" t="str">
        <f>"243410010118"</f>
        <v>243410010118</v>
      </c>
      <c r="F173" s="10">
        <v>85</v>
      </c>
      <c r="G173" s="9">
        <v>92</v>
      </c>
      <c r="H173" s="9">
        <f>F173*0.4+G173*0.6</f>
        <v>89.19999999999999</v>
      </c>
      <c r="I173" s="9"/>
      <c r="J173" s="9">
        <f>H173+I173</f>
        <v>89.19999999999999</v>
      </c>
      <c r="K173" s="17">
        <v>80.27</v>
      </c>
      <c r="L173" s="20">
        <f>J173/1.2*0.4+K173*0.6</f>
        <v>77.89533333333333</v>
      </c>
    </row>
    <row r="174" spans="1:12" s="2" customFormat="1" ht="14.25">
      <c r="A174" s="8">
        <v>172</v>
      </c>
      <c r="B174" s="9" t="s">
        <v>96</v>
      </c>
      <c r="C174" s="9" t="s">
        <v>101</v>
      </c>
      <c r="D174" s="9" t="s">
        <v>85</v>
      </c>
      <c r="E174" s="9" t="str">
        <f>"243410011509"</f>
        <v>243410011509</v>
      </c>
      <c r="F174" s="10">
        <v>71.5</v>
      </c>
      <c r="G174" s="9">
        <v>94</v>
      </c>
      <c r="H174" s="9">
        <f>F174*0.4+G174*0.6</f>
        <v>85</v>
      </c>
      <c r="I174" s="9"/>
      <c r="J174" s="9">
        <f>H174+I174</f>
        <v>85</v>
      </c>
      <c r="K174" s="21">
        <v>80.03</v>
      </c>
      <c r="L174" s="20">
        <f>J174/1.2*0.4+K174*0.6</f>
        <v>76.35133333333334</v>
      </c>
    </row>
    <row r="175" spans="1:12" s="2" customFormat="1" ht="14.25">
      <c r="A175" s="8">
        <v>173</v>
      </c>
      <c r="B175" s="9" t="s">
        <v>96</v>
      </c>
      <c r="C175" s="9" t="s">
        <v>101</v>
      </c>
      <c r="D175" s="9" t="s">
        <v>85</v>
      </c>
      <c r="E175" s="9" t="str">
        <f>"243410011511"</f>
        <v>243410011511</v>
      </c>
      <c r="F175" s="10">
        <v>75</v>
      </c>
      <c r="G175" s="9">
        <v>93</v>
      </c>
      <c r="H175" s="9">
        <f>F175*0.4+G175*0.6</f>
        <v>85.8</v>
      </c>
      <c r="I175" s="9"/>
      <c r="J175" s="9">
        <f>H175+I175</f>
        <v>85.8</v>
      </c>
      <c r="K175" s="21">
        <v>85.7</v>
      </c>
      <c r="L175" s="20">
        <f>J175/1.2*0.4+K175*0.6</f>
        <v>80.02000000000001</v>
      </c>
    </row>
    <row r="176" spans="1:12" ht="14.25">
      <c r="A176" s="8">
        <v>174</v>
      </c>
      <c r="B176" s="9" t="s">
        <v>96</v>
      </c>
      <c r="C176" s="9" t="s">
        <v>102</v>
      </c>
      <c r="D176" s="9" t="s">
        <v>91</v>
      </c>
      <c r="E176" s="9" t="str">
        <f>"243410012417"</f>
        <v>243410012417</v>
      </c>
      <c r="F176" s="10">
        <v>94.5</v>
      </c>
      <c r="G176" s="9">
        <v>78.5</v>
      </c>
      <c r="H176" s="9">
        <f>F176*0.4+G176*0.6</f>
        <v>84.9</v>
      </c>
      <c r="I176" s="9"/>
      <c r="J176" s="9">
        <f>H176+I176</f>
        <v>84.9</v>
      </c>
      <c r="K176" s="17">
        <v>81.9</v>
      </c>
      <c r="L176" s="22">
        <f>J176/1.2*0.4+K176*0.6</f>
        <v>77.44000000000001</v>
      </c>
    </row>
    <row r="177" spans="1:12" ht="14.25">
      <c r="A177" s="8">
        <v>175</v>
      </c>
      <c r="B177" s="9" t="s">
        <v>96</v>
      </c>
      <c r="C177" s="9" t="s">
        <v>102</v>
      </c>
      <c r="D177" s="9" t="s">
        <v>91</v>
      </c>
      <c r="E177" s="9" t="str">
        <f>"243410012423"</f>
        <v>243410012423</v>
      </c>
      <c r="F177" s="10">
        <v>86.5</v>
      </c>
      <c r="G177" s="9">
        <v>81.5</v>
      </c>
      <c r="H177" s="9">
        <f>F177*0.4+G177*0.6</f>
        <v>83.5</v>
      </c>
      <c r="I177" s="9"/>
      <c r="J177" s="9">
        <f>H177+I177</f>
        <v>83.5</v>
      </c>
      <c r="K177" s="17">
        <v>73.07</v>
      </c>
      <c r="L177" s="22">
        <f>J177/1.2*0.4+K177*0.6</f>
        <v>71.67533333333333</v>
      </c>
    </row>
    <row r="178" spans="1:12" ht="14.25">
      <c r="A178" s="8">
        <v>176</v>
      </c>
      <c r="B178" s="9" t="s">
        <v>96</v>
      </c>
      <c r="C178" s="9" t="s">
        <v>102</v>
      </c>
      <c r="D178" s="9" t="s">
        <v>91</v>
      </c>
      <c r="E178" s="9" t="str">
        <f>"243410012425"</f>
        <v>243410012425</v>
      </c>
      <c r="F178" s="10">
        <v>86.5</v>
      </c>
      <c r="G178" s="9">
        <v>84.5</v>
      </c>
      <c r="H178" s="9">
        <f>F178*0.4+G178*0.6</f>
        <v>85.3</v>
      </c>
      <c r="I178" s="9"/>
      <c r="J178" s="9">
        <f>H178+I178</f>
        <v>85.3</v>
      </c>
      <c r="K178" s="17">
        <v>81.57</v>
      </c>
      <c r="L178" s="22">
        <f>J178/1.2*0.4+K178*0.6</f>
        <v>77.37533333333333</v>
      </c>
    </row>
  </sheetData>
  <sheetProtection/>
  <autoFilter ref="A2:L178"/>
  <mergeCells count="1">
    <mergeCell ref="A1:L1"/>
  </mergeCells>
  <conditionalFormatting sqref="E3:E178">
    <cfRule type="expression" priority="4" dxfId="0" stopIfTrue="1">
      <formula>AND(COUNTIF($E$3:$E$178,E3)&gt;1,NOT(ISBLANK(E3)))</formula>
    </cfRule>
    <cfRule type="expression" priority="5" dxfId="0" stopIfTrue="1">
      <formula>AND(COUNTIF($E$3:$E$178,E3)&gt;1,NOT(ISBLANK(E3)))</formula>
    </cfRule>
    <cfRule type="expression" priority="7" dxfId="1" stopIfTrue="1">
      <formula>AND(SUMPRODUCT(_xlfn.IFERROR(1*(($E$3:$E$178&amp;"x")=(E3&amp;"x")),0))&gt;1,NOT(ISBLANK(E3)))</formula>
    </cfRule>
  </conditionalFormatting>
  <printOptions/>
  <pageMargins left="0.7513888888888889" right="0.7513888888888889" top="0.3541666666666667" bottom="0.3541666666666667" header="0.275" footer="0.27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11</cp:lastModifiedBy>
  <cp:lastPrinted>2014-05-13T01:42:59Z</cp:lastPrinted>
  <dcterms:created xsi:type="dcterms:W3CDTF">2014-05-04T03:15:49Z</dcterms:created>
  <dcterms:modified xsi:type="dcterms:W3CDTF">2024-05-20T00:05:38Z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true</vt:bool>
  </property>
  <property fmtid="{D5CDD505-2E9C-101B-9397-08002B2CF9AE}" pid="5" name="I">
    <vt:lpwstr>C8829AE55B3945FA8528F3BB52546F2F</vt:lpwstr>
  </property>
</Properties>
</file>